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hdreves/Desktop/2018_11 FinanceRE Site Redesign/CREST Spreadsheets/"/>
    </mc:Choice>
  </mc:AlternateContent>
  <xr:revisionPtr revIDLastSave="0" documentId="13_ncr:1_{0F1ED46E-B3CA-5E42-B9AE-DB9F8AA0518E}" xr6:coauthVersionLast="40" xr6:coauthVersionMax="40" xr10:uidLastSave="{00000000-0000-0000-0000-000000000000}"/>
  <bookViews>
    <workbookView xWindow="1600" yWindow="460" windowWidth="19140" windowHeight="9080" tabRatio="725" xr2:uid="{00000000-000D-0000-FFFF-FFFF00000000}"/>
  </bookViews>
  <sheets>
    <sheet name="Introduction" sheetId="6" r:id="rId1"/>
    <sheet name="Inputs" sheetId="7" r:id="rId2"/>
    <sheet name="Summary Results" sheetId="9" r:id="rId3"/>
    <sheet name="Annual Cash Flows &amp; Returns" sheetId="10" r:id="rId4"/>
    <sheet name="Cash Flow" sheetId="11" r:id="rId5"/>
    <sheet name="Complex Inputs" sheetId="12" r:id="rId6"/>
  </sheets>
  <definedNames>
    <definedName name="_ftn1" localSheetId="1">Inputs!#REF!</definedName>
    <definedName name="_ftnref1" localSheetId="1">Inputs!$E$120</definedName>
    <definedName name="complex_confirmation">'Complex Inputs'!$B$27</definedName>
    <definedName name="complex_plant">'Complex Inputs'!$B$52</definedName>
    <definedName name="complex_wellfield">'Complex Inputs'!$B$27</definedName>
    <definedName name="depreciation_allocation">'Complex Inputs'!$E$114</definedName>
    <definedName name="_xlnm.Print_Area" localSheetId="0">Introduction!$B$2:$D$27</definedName>
    <definedName name="production_degradation">'Complex Inputs'!$F$126</definedName>
    <definedName name="production_degradation_input">'Complex Inputs'!$G$129</definedName>
    <definedName name="production_mkt_val">'Complex Inputs'!$B$126</definedName>
    <definedName name="solver_adj" localSheetId="1" hidden="1">Inputs!$G$79</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Inputs!$G$84</definedName>
    <definedName name="solver_lhs2" localSheetId="1" hidden="1">Inputs!$G$87</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Inputs!$U$118</definedName>
    <definedName name="solver_pre" localSheetId="1" hidden="1">0.000001</definedName>
    <definedName name="solver_rel1" localSheetId="1" hidden="1">3</definedName>
    <definedName name="solver_rel2" localSheetId="1" hidden="1">3</definedName>
    <definedName name="solver_rhs1" localSheetId="1" hidden="1">Inputs!$G$83</definedName>
    <definedName name="solver_rhs2" localSheetId="1" hidden="1">Inputs!$G$86</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hermal_Resource_Degradation_Input">'Complex Inputs'!$J$129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6" i="7" l="1"/>
  <c r="G55" i="7"/>
  <c r="G116" i="12"/>
  <c r="H116" i="12"/>
  <c r="I116" i="12"/>
  <c r="J116" i="12"/>
  <c r="K116" i="12"/>
  <c r="F116" i="12"/>
  <c r="G31" i="7"/>
  <c r="G32" i="7" s="1"/>
  <c r="B4" i="12"/>
  <c r="B116" i="12" s="1"/>
  <c r="E116" i="12" s="1"/>
  <c r="C25" i="12"/>
  <c r="D25" i="12" s="1"/>
  <c r="G42" i="7"/>
  <c r="B78" i="12"/>
  <c r="B119" i="12" s="1"/>
  <c r="E119" i="12" s="1"/>
  <c r="B52" i="12"/>
  <c r="B118" i="12" s="1"/>
  <c r="E118" i="12" s="1"/>
  <c r="G29" i="7"/>
  <c r="C116" i="12" l="1"/>
  <c r="D116" i="12"/>
  <c r="F71" i="7"/>
  <c r="T55" i="7"/>
  <c r="R55" i="7"/>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G18" i="11"/>
  <c r="Q170" i="11"/>
  <c r="R170" i="11"/>
  <c r="S170" i="11"/>
  <c r="T170" i="11"/>
  <c r="U170" i="11"/>
  <c r="V170" i="11"/>
  <c r="W170" i="11"/>
  <c r="X170" i="11"/>
  <c r="Y170" i="11"/>
  <c r="Z170" i="11"/>
  <c r="AA170" i="11"/>
  <c r="AB170" i="11"/>
  <c r="AC170" i="11"/>
  <c r="AD170" i="11"/>
  <c r="AE170" i="11"/>
  <c r="AF170" i="11"/>
  <c r="AG170" i="11"/>
  <c r="AH170" i="11"/>
  <c r="AI170" i="11"/>
  <c r="AJ170" i="11"/>
  <c r="H169" i="11"/>
  <c r="I169" i="11"/>
  <c r="J169" i="11"/>
  <c r="K169" i="11"/>
  <c r="L169" i="11"/>
  <c r="M169" i="11"/>
  <c r="N169" i="11"/>
  <c r="O169" i="11"/>
  <c r="P169" i="11"/>
  <c r="Q169" i="11"/>
  <c r="R169" i="11"/>
  <c r="S169" i="11"/>
  <c r="T169" i="11"/>
  <c r="U169" i="11"/>
  <c r="V169" i="11"/>
  <c r="W169" i="11"/>
  <c r="X169" i="11"/>
  <c r="Y169" i="11"/>
  <c r="Z169" i="11"/>
  <c r="AA169" i="11"/>
  <c r="AB169" i="11"/>
  <c r="AC169" i="11"/>
  <c r="AD169" i="11"/>
  <c r="AE169" i="11"/>
  <c r="AF169" i="11"/>
  <c r="AG169" i="11"/>
  <c r="AH169" i="11"/>
  <c r="AI169" i="11"/>
  <c r="AJ169" i="11"/>
  <c r="H184" i="11"/>
  <c r="I184" i="11"/>
  <c r="J184" i="11"/>
  <c r="K184" i="11"/>
  <c r="L184" i="11"/>
  <c r="M184" i="11"/>
  <c r="N184" i="11"/>
  <c r="O184" i="11"/>
  <c r="P184" i="11"/>
  <c r="Q184" i="11"/>
  <c r="R184" i="11"/>
  <c r="S184" i="11"/>
  <c r="T184" i="11"/>
  <c r="U184" i="11"/>
  <c r="V184" i="11"/>
  <c r="W184" i="11"/>
  <c r="X184" i="11"/>
  <c r="Y184" i="11"/>
  <c r="Z184" i="11"/>
  <c r="AA184" i="11"/>
  <c r="AB184" i="11"/>
  <c r="AC184" i="11"/>
  <c r="AD184" i="11"/>
  <c r="AE184" i="11"/>
  <c r="AF184" i="11"/>
  <c r="AG184" i="11"/>
  <c r="AH184" i="11"/>
  <c r="AI184" i="11"/>
  <c r="AJ184" i="11"/>
  <c r="G184" i="11"/>
  <c r="G106" i="7"/>
  <c r="T77" i="7" l="1"/>
  <c r="Q20" i="11"/>
  <c r="R20" i="11"/>
  <c r="S20" i="11"/>
  <c r="T20" i="11"/>
  <c r="U20" i="11"/>
  <c r="V20" i="11"/>
  <c r="W20" i="11"/>
  <c r="X20" i="11"/>
  <c r="Y20" i="11"/>
  <c r="Z20" i="11"/>
  <c r="AA20" i="11"/>
  <c r="AB20" i="11"/>
  <c r="AC20" i="11"/>
  <c r="AD20" i="11"/>
  <c r="AE20" i="11"/>
  <c r="AF20" i="11"/>
  <c r="AG20" i="11"/>
  <c r="AH20" i="11"/>
  <c r="AI20" i="11"/>
  <c r="AJ20" i="11"/>
  <c r="G20" i="11"/>
  <c r="L183" i="11"/>
  <c r="M183" i="11"/>
  <c r="N183" i="11"/>
  <c r="O183" i="11"/>
  <c r="P183" i="11"/>
  <c r="Q183" i="11"/>
  <c r="R183" i="11"/>
  <c r="S183" i="11"/>
  <c r="T183" i="11"/>
  <c r="U183" i="11"/>
  <c r="V183" i="11"/>
  <c r="W183" i="11"/>
  <c r="X183" i="11"/>
  <c r="Y183" i="11"/>
  <c r="Z183" i="11"/>
  <c r="AA183" i="11"/>
  <c r="AB183" i="11"/>
  <c r="AC183" i="11"/>
  <c r="AD183" i="11"/>
  <c r="AE183" i="11"/>
  <c r="AF183" i="11"/>
  <c r="AG183" i="11"/>
  <c r="AH183" i="11"/>
  <c r="AI183" i="11"/>
  <c r="AJ183" i="11"/>
  <c r="R76" i="7"/>
  <c r="R74" i="7"/>
  <c r="R70" i="7"/>
  <c r="D46" i="9"/>
  <c r="D35" i="9"/>
  <c r="D34" i="9"/>
  <c r="D24" i="9"/>
  <c r="N57" i="7" l="1"/>
  <c r="C22" i="9"/>
  <c r="D22" i="9"/>
  <c r="B22" i="9"/>
  <c r="D20" i="9"/>
  <c r="C20" i="9"/>
  <c r="B20" i="9"/>
  <c r="Y44" i="11" l="1"/>
  <c r="Z44" i="11"/>
  <c r="AA44" i="11"/>
  <c r="AB44" i="11"/>
  <c r="AC44" i="11"/>
  <c r="AD44" i="11"/>
  <c r="AE44" i="11"/>
  <c r="AF44" i="11"/>
  <c r="AG44" i="11"/>
  <c r="AH44" i="11"/>
  <c r="AI44" i="11"/>
  <c r="AJ44" i="11"/>
  <c r="E125" i="11" l="1"/>
  <c r="E122" i="11"/>
  <c r="K120" i="12" l="1"/>
  <c r="K119" i="12"/>
  <c r="K118" i="12"/>
  <c r="K117" i="12"/>
  <c r="K121" i="12" l="1"/>
  <c r="D35" i="7"/>
  <c r="L92" i="7"/>
  <c r="L97" i="7"/>
  <c r="O97" i="7"/>
  <c r="N92" i="7"/>
  <c r="N93" i="7"/>
  <c r="E16" i="7"/>
  <c r="L91" i="7" l="1"/>
  <c r="O92" i="7"/>
  <c r="O93" i="7"/>
  <c r="N94" i="7"/>
  <c r="O94" i="7"/>
  <c r="N95" i="7"/>
  <c r="O95" i="7"/>
  <c r="N96" i="7"/>
  <c r="O96" i="7"/>
  <c r="G35" i="11" l="1"/>
  <c r="G31" i="11"/>
  <c r="G29" i="11"/>
  <c r="E11" i="7"/>
  <c r="H46" i="7"/>
  <c r="H36" i="7"/>
  <c r="G218" i="11" l="1"/>
  <c r="G219" i="11" s="1"/>
  <c r="G217" i="11"/>
  <c r="G211" i="11"/>
  <c r="I129" i="12"/>
  <c r="I130" i="12" s="1"/>
  <c r="I131" i="12" s="1"/>
  <c r="I132" i="12" s="1"/>
  <c r="I133" i="12" s="1"/>
  <c r="I134" i="12" s="1"/>
  <c r="I135" i="12" s="1"/>
  <c r="I136" i="12" s="1"/>
  <c r="I137" i="12" s="1"/>
  <c r="I138" i="12" s="1"/>
  <c r="I139" i="12" s="1"/>
  <c r="I140" i="12" s="1"/>
  <c r="I141" i="12" s="1"/>
  <c r="I142" i="12" s="1"/>
  <c r="I143" i="12" s="1"/>
  <c r="I144" i="12" s="1"/>
  <c r="I145" i="12" s="1"/>
  <c r="I146" i="12" s="1"/>
  <c r="I147" i="12" s="1"/>
  <c r="I148" i="12" s="1"/>
  <c r="I149" i="12" s="1"/>
  <c r="I150" i="12" s="1"/>
  <c r="I151" i="12" s="1"/>
  <c r="I152" i="12" s="1"/>
  <c r="I153" i="12" s="1"/>
  <c r="I154" i="12" s="1"/>
  <c r="I155" i="12" s="1"/>
  <c r="I156" i="12" s="1"/>
  <c r="I157" i="12" s="1"/>
  <c r="I158" i="12" s="1"/>
  <c r="F129" i="12"/>
  <c r="F130" i="12" s="1"/>
  <c r="F131" i="12" s="1"/>
  <c r="F132" i="12" s="1"/>
  <c r="F133" i="12" s="1"/>
  <c r="F134" i="12" s="1"/>
  <c r="F135" i="12" s="1"/>
  <c r="F136" i="12" s="1"/>
  <c r="F137" i="12" s="1"/>
  <c r="F138" i="12" s="1"/>
  <c r="F139" i="12" s="1"/>
  <c r="F140" i="12" s="1"/>
  <c r="F141" i="12" s="1"/>
  <c r="F142" i="12" s="1"/>
  <c r="F143" i="12" s="1"/>
  <c r="F144" i="12" s="1"/>
  <c r="F145" i="12" s="1"/>
  <c r="F146" i="12" s="1"/>
  <c r="F147" i="12" s="1"/>
  <c r="F148" i="12" s="1"/>
  <c r="F149" i="12" s="1"/>
  <c r="F150" i="12" s="1"/>
  <c r="F151" i="12" s="1"/>
  <c r="F152" i="12" s="1"/>
  <c r="F153" i="12" s="1"/>
  <c r="F154" i="12" s="1"/>
  <c r="F155" i="12" s="1"/>
  <c r="F156" i="12" s="1"/>
  <c r="F157" i="12" s="1"/>
  <c r="F158" i="12" s="1"/>
  <c r="C129" i="12"/>
  <c r="AI217" i="11" l="1"/>
  <c r="AG217" i="11"/>
  <c r="AE217" i="11"/>
  <c r="AC217" i="11"/>
  <c r="AA217" i="11"/>
  <c r="Y217" i="11"/>
  <c r="W217" i="11"/>
  <c r="U217" i="11"/>
  <c r="S217" i="11"/>
  <c r="Q217" i="11"/>
  <c r="O217" i="11"/>
  <c r="M217" i="11"/>
  <c r="K217" i="11"/>
  <c r="I217" i="11"/>
  <c r="AJ217" i="11"/>
  <c r="AH217" i="11"/>
  <c r="AF217" i="11"/>
  <c r="AD217" i="11"/>
  <c r="AB217" i="11"/>
  <c r="Z217" i="11"/>
  <c r="X217" i="11"/>
  <c r="V217" i="11"/>
  <c r="T217" i="11"/>
  <c r="R217" i="11"/>
  <c r="P217" i="11"/>
  <c r="N217" i="11"/>
  <c r="L217" i="11"/>
  <c r="J217" i="11"/>
  <c r="H217" i="11"/>
  <c r="H218" i="11" s="1"/>
  <c r="AI211" i="11"/>
  <c r="AG211" i="11"/>
  <c r="AE211" i="11"/>
  <c r="AC211" i="11"/>
  <c r="AA211" i="11"/>
  <c r="Y211" i="11"/>
  <c r="W211" i="11"/>
  <c r="U211" i="11"/>
  <c r="S211" i="11"/>
  <c r="Q211" i="11"/>
  <c r="O211" i="11"/>
  <c r="M211" i="11"/>
  <c r="K211" i="11"/>
  <c r="I211" i="11"/>
  <c r="AJ211" i="11"/>
  <c r="AH211" i="11"/>
  <c r="AF211" i="11"/>
  <c r="AD211" i="11"/>
  <c r="AB211" i="11"/>
  <c r="Z211" i="11"/>
  <c r="X211" i="11"/>
  <c r="V211" i="11"/>
  <c r="T211" i="11"/>
  <c r="R211" i="11"/>
  <c r="P211" i="11"/>
  <c r="N211" i="11"/>
  <c r="L211" i="11"/>
  <c r="J211" i="11"/>
  <c r="H211" i="11"/>
  <c r="D18" i="9"/>
  <c r="C18" i="9"/>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G34" i="11"/>
  <c r="H27" i="11"/>
  <c r="H35" i="11" s="1"/>
  <c r="G13" i="7"/>
  <c r="G212" i="11" s="1"/>
  <c r="G213" i="11" s="1"/>
  <c r="G214" i="11" s="1"/>
  <c r="G220" i="11" s="1"/>
  <c r="G5" i="11" s="1"/>
  <c r="G21" i="11" s="1"/>
  <c r="H219" i="11" l="1"/>
  <c r="I218" i="11"/>
  <c r="I219" i="11" s="1"/>
  <c r="G32" i="11"/>
  <c r="G30" i="11"/>
  <c r="H34" i="11"/>
  <c r="H31" i="11"/>
  <c r="H29" i="11"/>
  <c r="H212" i="11"/>
  <c r="H213" i="11" s="1"/>
  <c r="H214" i="11" s="1"/>
  <c r="I27" i="11"/>
  <c r="I35" i="11" s="1"/>
  <c r="H220" i="11" l="1"/>
  <c r="H5" i="11" s="1"/>
  <c r="H30" i="11" s="1"/>
  <c r="J218" i="11"/>
  <c r="J219" i="11" s="1"/>
  <c r="I31" i="11"/>
  <c r="I29" i="11"/>
  <c r="I212" i="11"/>
  <c r="J212" i="11" s="1"/>
  <c r="J27" i="11"/>
  <c r="J35" i="11" s="1"/>
  <c r="I34" i="11"/>
  <c r="H32" i="11" l="1"/>
  <c r="K218" i="11"/>
  <c r="K219" i="11" s="1"/>
  <c r="I213" i="11"/>
  <c r="I214" i="11" s="1"/>
  <c r="I220" i="11" s="1"/>
  <c r="I5" i="11" s="1"/>
  <c r="I32" i="11" s="1"/>
  <c r="J31" i="11"/>
  <c r="J29" i="11"/>
  <c r="K212" i="11"/>
  <c r="J213" i="11"/>
  <c r="J214" i="11" s="1"/>
  <c r="J220" i="11" s="1"/>
  <c r="J5" i="11" s="1"/>
  <c r="J34" i="11"/>
  <c r="K27" i="11"/>
  <c r="K35" i="11" s="1"/>
  <c r="L218" i="11" l="1"/>
  <c r="L219" i="11" s="1"/>
  <c r="I30" i="11"/>
  <c r="K31" i="11"/>
  <c r="K29" i="11"/>
  <c r="J32" i="11"/>
  <c r="J30" i="11"/>
  <c r="L212" i="11"/>
  <c r="K213" i="11"/>
  <c r="K214" i="11" s="1"/>
  <c r="K220" i="11" s="1"/>
  <c r="K5" i="11" s="1"/>
  <c r="M218" i="11"/>
  <c r="M219" i="11" s="1"/>
  <c r="K34" i="11"/>
  <c r="L27" i="11"/>
  <c r="L35" i="11" s="1"/>
  <c r="L31" i="11" l="1"/>
  <c r="L29" i="11"/>
  <c r="K32" i="11"/>
  <c r="K30" i="11"/>
  <c r="M212" i="11"/>
  <c r="L213" i="11"/>
  <c r="L214" i="11" s="1"/>
  <c r="L220" i="11" s="1"/>
  <c r="L5" i="11" s="1"/>
  <c r="N218" i="11"/>
  <c r="N219" i="11" s="1"/>
  <c r="L34" i="11"/>
  <c r="M27" i="11"/>
  <c r="M35" i="11" s="1"/>
  <c r="M31" i="11" l="1"/>
  <c r="M29" i="11"/>
  <c r="L32" i="11"/>
  <c r="L30" i="11"/>
  <c r="N212" i="11"/>
  <c r="M213" i="11"/>
  <c r="M214" i="11" s="1"/>
  <c r="M220" i="11" s="1"/>
  <c r="M5" i="11" s="1"/>
  <c r="O218" i="11"/>
  <c r="O219" i="11" s="1"/>
  <c r="M34" i="11"/>
  <c r="N27" i="11"/>
  <c r="N35" i="11" s="1"/>
  <c r="N31" i="11" l="1"/>
  <c r="N29" i="11"/>
  <c r="M32" i="11"/>
  <c r="M30" i="11"/>
  <c r="O212" i="11"/>
  <c r="N213" i="11"/>
  <c r="N214" i="11" s="1"/>
  <c r="N220" i="11" s="1"/>
  <c r="N5" i="11" s="1"/>
  <c r="P218" i="11"/>
  <c r="P219" i="11" s="1"/>
  <c r="N34" i="11"/>
  <c r="O27" i="11"/>
  <c r="O35" i="11" s="1"/>
  <c r="O31" i="11" l="1"/>
  <c r="O29" i="11"/>
  <c r="N32" i="11"/>
  <c r="N30" i="11"/>
  <c r="P212" i="11"/>
  <c r="O213" i="11"/>
  <c r="O214" i="11" s="1"/>
  <c r="O220" i="11" s="1"/>
  <c r="O5" i="11" s="1"/>
  <c r="Q218" i="11"/>
  <c r="Q219" i="11" s="1"/>
  <c r="O34" i="11"/>
  <c r="P27" i="11"/>
  <c r="P35" i="11" s="1"/>
  <c r="P31" i="11" l="1"/>
  <c r="P29" i="11"/>
  <c r="O32" i="11"/>
  <c r="O30" i="11"/>
  <c r="Q212" i="11"/>
  <c r="R212" i="11" s="1"/>
  <c r="S212" i="11" s="1"/>
  <c r="T212" i="11" s="1"/>
  <c r="U212" i="11" s="1"/>
  <c r="V212" i="11" s="1"/>
  <c r="W212" i="11" s="1"/>
  <c r="X212" i="11" s="1"/>
  <c r="Y212" i="11" s="1"/>
  <c r="Z212" i="11" s="1"/>
  <c r="AA212" i="11" s="1"/>
  <c r="AB212" i="11" s="1"/>
  <c r="AC212" i="11" s="1"/>
  <c r="AD212" i="11" s="1"/>
  <c r="AE212" i="11" s="1"/>
  <c r="AF212" i="11" s="1"/>
  <c r="AG212" i="11" s="1"/>
  <c r="AH212" i="11" s="1"/>
  <c r="AI212" i="11" s="1"/>
  <c r="AJ212" i="11" s="1"/>
  <c r="P213" i="11"/>
  <c r="R218" i="11"/>
  <c r="R219" i="11" s="1"/>
  <c r="P34" i="11"/>
  <c r="Q27" i="11"/>
  <c r="Q35" i="11" s="1"/>
  <c r="B27" i="12"/>
  <c r="B117" i="12" s="1"/>
  <c r="E117" i="12" s="1"/>
  <c r="C48" i="12"/>
  <c r="Q31" i="11" l="1"/>
  <c r="Q29" i="11"/>
  <c r="P214" i="11"/>
  <c r="P220" i="11" s="1"/>
  <c r="P5" i="11" s="1"/>
  <c r="Q213" i="11"/>
  <c r="S218" i="11"/>
  <c r="S219" i="11" s="1"/>
  <c r="Q34" i="11"/>
  <c r="R27" i="11"/>
  <c r="R35" i="11" s="1"/>
  <c r="P32" i="11" l="1"/>
  <c r="P30" i="11"/>
  <c r="R31" i="11"/>
  <c r="R29" i="11"/>
  <c r="Q214" i="11"/>
  <c r="Q220" i="11" s="1"/>
  <c r="Q5" i="11" s="1"/>
  <c r="Q21" i="11" s="1"/>
  <c r="R213" i="11"/>
  <c r="T218" i="11"/>
  <c r="T219" i="11" s="1"/>
  <c r="R34" i="11"/>
  <c r="S27" i="11"/>
  <c r="S35" i="11" s="1"/>
  <c r="S31" i="11" l="1"/>
  <c r="S29" i="11"/>
  <c r="Q32" i="11"/>
  <c r="Q30" i="11"/>
  <c r="R214" i="11"/>
  <c r="R220" i="11" s="1"/>
  <c r="R5" i="11" s="1"/>
  <c r="R21" i="11" s="1"/>
  <c r="S213" i="11"/>
  <c r="U218" i="11"/>
  <c r="U219" i="11" s="1"/>
  <c r="S34" i="11"/>
  <c r="T27" i="11"/>
  <c r="T35" i="11" s="1"/>
  <c r="T31" i="11" l="1"/>
  <c r="T29" i="11"/>
  <c r="R32" i="11"/>
  <c r="R30" i="11"/>
  <c r="S214" i="11"/>
  <c r="S220" i="11" s="1"/>
  <c r="S5" i="11" s="1"/>
  <c r="S21" i="11" s="1"/>
  <c r="T213" i="11"/>
  <c r="V218" i="11"/>
  <c r="V219" i="11" s="1"/>
  <c r="T34" i="11"/>
  <c r="U27" i="11"/>
  <c r="U35" i="11" s="1"/>
  <c r="U31" i="11" l="1"/>
  <c r="U29" i="11"/>
  <c r="S32" i="11"/>
  <c r="S30" i="11"/>
  <c r="T214" i="11"/>
  <c r="T220" i="11" s="1"/>
  <c r="T5" i="11" s="1"/>
  <c r="T21" i="11" s="1"/>
  <c r="U213" i="11"/>
  <c r="W218" i="11"/>
  <c r="W219" i="11" s="1"/>
  <c r="U34" i="11"/>
  <c r="V27" i="11"/>
  <c r="V35" i="11" s="1"/>
  <c r="V31" i="11" l="1"/>
  <c r="V29" i="11"/>
  <c r="T32" i="11"/>
  <c r="T30" i="11"/>
  <c r="U214" i="11"/>
  <c r="U220" i="11" s="1"/>
  <c r="U5" i="11" s="1"/>
  <c r="U21" i="11" s="1"/>
  <c r="V213" i="11"/>
  <c r="X218" i="11"/>
  <c r="X219" i="11" s="1"/>
  <c r="V34" i="11"/>
  <c r="W27" i="11"/>
  <c r="W35" i="11" s="1"/>
  <c r="W31" i="11" l="1"/>
  <c r="W29" i="11"/>
  <c r="U32" i="11"/>
  <c r="U30" i="11"/>
  <c r="V214" i="11"/>
  <c r="V220" i="11" s="1"/>
  <c r="V5" i="11" s="1"/>
  <c r="V21" i="11" s="1"/>
  <c r="W213" i="11"/>
  <c r="Y218" i="11"/>
  <c r="Y219" i="11" s="1"/>
  <c r="W34" i="11"/>
  <c r="X27" i="11"/>
  <c r="X35" i="11" s="1"/>
  <c r="V32" i="11" l="1"/>
  <c r="V30" i="11"/>
  <c r="X31" i="11"/>
  <c r="X29" i="11"/>
  <c r="W214" i="11"/>
  <c r="W220" i="11" s="1"/>
  <c r="W5" i="11" s="1"/>
  <c r="W21" i="11" s="1"/>
  <c r="X213" i="11"/>
  <c r="Z218" i="11"/>
  <c r="Z219" i="11" s="1"/>
  <c r="X34" i="11"/>
  <c r="Y27" i="11"/>
  <c r="Y35" i="11" s="1"/>
  <c r="Y31" i="11" l="1"/>
  <c r="Y29" i="11"/>
  <c r="W32" i="11"/>
  <c r="W30" i="11"/>
  <c r="X214" i="11"/>
  <c r="X220" i="11" s="1"/>
  <c r="X5" i="11" s="1"/>
  <c r="X21" i="11" s="1"/>
  <c r="Y213" i="11"/>
  <c r="AA218" i="11"/>
  <c r="AA219" i="11" s="1"/>
  <c r="Y34" i="11"/>
  <c r="Z27" i="11"/>
  <c r="Z35" i="11" s="1"/>
  <c r="Z31" i="11" l="1"/>
  <c r="Z29" i="11"/>
  <c r="X32" i="11"/>
  <c r="X30" i="11"/>
  <c r="Y214" i="11"/>
  <c r="Y220" i="11" s="1"/>
  <c r="Y5" i="11" s="1"/>
  <c r="Y21" i="11" s="1"/>
  <c r="Z213" i="11"/>
  <c r="AB218" i="11"/>
  <c r="AB219" i="11" s="1"/>
  <c r="Z34" i="11"/>
  <c r="AA27" i="11"/>
  <c r="AA35" i="11" s="1"/>
  <c r="Y32" i="11" l="1"/>
  <c r="Y30" i="11"/>
  <c r="AA31" i="11"/>
  <c r="AA29" i="11"/>
  <c r="Z214" i="11"/>
  <c r="AA213" i="11"/>
  <c r="AB213" i="11" s="1"/>
  <c r="AC213" i="11" s="1"/>
  <c r="AD213" i="11" s="1"/>
  <c r="AE213" i="11" s="1"/>
  <c r="AF213" i="11" s="1"/>
  <c r="AG213" i="11" s="1"/>
  <c r="AH213" i="11" s="1"/>
  <c r="AI213" i="11" s="1"/>
  <c r="AJ213" i="11" s="1"/>
  <c r="AC218" i="11"/>
  <c r="AC219" i="11" s="1"/>
  <c r="AA34" i="11"/>
  <c r="AB27" i="11"/>
  <c r="AB35" i="11" s="1"/>
  <c r="AB31" i="11" l="1"/>
  <c r="AB29" i="11"/>
  <c r="AA214" i="11"/>
  <c r="Z220" i="11"/>
  <c r="Z5" i="11" s="1"/>
  <c r="Z21" i="11" s="1"/>
  <c r="AD218" i="11"/>
  <c r="AD219" i="11" s="1"/>
  <c r="AB34" i="11"/>
  <c r="AC27" i="11"/>
  <c r="AC35" i="11" s="1"/>
  <c r="AC31" i="11" l="1"/>
  <c r="AC29" i="11"/>
  <c r="Z32" i="11"/>
  <c r="Z30" i="11"/>
  <c r="AB214" i="11"/>
  <c r="AA220" i="11"/>
  <c r="AA5" i="11" s="1"/>
  <c r="AA21" i="11" s="1"/>
  <c r="AE218" i="11"/>
  <c r="AE219" i="11" s="1"/>
  <c r="AC34" i="11"/>
  <c r="AD27" i="11"/>
  <c r="AD35" i="11" s="1"/>
  <c r="AD31" i="11" l="1"/>
  <c r="AD29" i="11"/>
  <c r="AA32" i="11"/>
  <c r="AA30" i="11"/>
  <c r="AC214" i="11"/>
  <c r="AB220" i="11"/>
  <c r="AB5" i="11" s="1"/>
  <c r="AB21" i="11" s="1"/>
  <c r="AF218" i="11"/>
  <c r="AF219" i="11" s="1"/>
  <c r="AD34" i="11"/>
  <c r="AE27" i="11"/>
  <c r="AE35" i="11" s="1"/>
  <c r="AE31" i="11" l="1"/>
  <c r="AE29" i="11"/>
  <c r="AB32" i="11"/>
  <c r="AB30" i="11"/>
  <c r="AD214" i="11"/>
  <c r="AC220" i="11"/>
  <c r="AC5" i="11" s="1"/>
  <c r="AC21" i="11" s="1"/>
  <c r="AG218" i="11"/>
  <c r="AG219" i="11" s="1"/>
  <c r="AE34" i="11"/>
  <c r="AF27" i="11"/>
  <c r="AG27" i="11" l="1"/>
  <c r="AF35" i="11"/>
  <c r="AF31" i="11"/>
  <c r="AF29" i="11"/>
  <c r="AF34" i="11"/>
  <c r="AC32" i="11"/>
  <c r="AC30" i="11"/>
  <c r="AE214" i="11"/>
  <c r="AD220" i="11"/>
  <c r="AD5" i="11" s="1"/>
  <c r="AD21" i="11" s="1"/>
  <c r="AH218" i="11"/>
  <c r="AH219" i="11" s="1"/>
  <c r="G8" i="7"/>
  <c r="D21" i="9" s="1"/>
  <c r="AH27" i="11" l="1"/>
  <c r="AG35" i="11"/>
  <c r="AG31" i="11"/>
  <c r="AG29" i="11"/>
  <c r="AG34" i="11"/>
  <c r="AD32" i="11"/>
  <c r="AD30" i="11"/>
  <c r="AF214" i="11"/>
  <c r="AE220" i="11"/>
  <c r="AE5" i="11" s="1"/>
  <c r="AE21" i="11" s="1"/>
  <c r="AI218" i="11"/>
  <c r="AI219" i="11" s="1"/>
  <c r="E69" i="7"/>
  <c r="E46" i="7"/>
  <c r="AI27" i="11" l="1"/>
  <c r="AH29" i="11"/>
  <c r="AH35" i="11"/>
  <c r="AH31" i="11"/>
  <c r="AH34" i="11"/>
  <c r="AE32" i="11"/>
  <c r="AE30" i="11"/>
  <c r="AG214" i="11"/>
  <c r="AF220" i="11"/>
  <c r="AF5" i="11" s="1"/>
  <c r="AF21" i="11" s="1"/>
  <c r="AJ218" i="11"/>
  <c r="AJ219" i="11" s="1"/>
  <c r="D17" i="7"/>
  <c r="AF32" i="11" l="1"/>
  <c r="AF30" i="11"/>
  <c r="AJ27" i="11"/>
  <c r="AI35" i="11"/>
  <c r="AI31" i="11"/>
  <c r="AI29" i="11"/>
  <c r="AI34" i="11"/>
  <c r="AH214" i="11"/>
  <c r="AG220" i="11"/>
  <c r="AG5" i="11" s="1"/>
  <c r="AG21" i="11" s="1"/>
  <c r="T11" i="7"/>
  <c r="AG32" i="11" l="1"/>
  <c r="AG30" i="11"/>
  <c r="AJ35" i="11"/>
  <c r="AJ31" i="11"/>
  <c r="AJ29" i="11"/>
  <c r="AJ34" i="11"/>
  <c r="AI214" i="11"/>
  <c r="AH220" i="11"/>
  <c r="AH5" i="11" s="1"/>
  <c r="AH21" i="11" s="1"/>
  <c r="N44" i="7"/>
  <c r="N40" i="7"/>
  <c r="N79" i="7"/>
  <c r="N78" i="7"/>
  <c r="N72" i="7"/>
  <c r="N71" i="7"/>
  <c r="N70" i="7"/>
  <c r="N62" i="7"/>
  <c r="N63" i="7"/>
  <c r="N58" i="7"/>
  <c r="N13" i="7"/>
  <c r="N12" i="7"/>
  <c r="N107" i="7"/>
  <c r="N105" i="7"/>
  <c r="D90" i="7"/>
  <c r="D82" i="7"/>
  <c r="D81" i="7"/>
  <c r="D79" i="7"/>
  <c r="AH30" i="11" l="1"/>
  <c r="AH32" i="11"/>
  <c r="AJ214" i="11"/>
  <c r="AJ220" i="11" s="1"/>
  <c r="AJ5" i="11" s="1"/>
  <c r="AJ21" i="11" s="1"/>
  <c r="AI220" i="11"/>
  <c r="AI5" i="11" s="1"/>
  <c r="AI21" i="11" s="1"/>
  <c r="N6" i="7"/>
  <c r="D10" i="7"/>
  <c r="D7" i="7"/>
  <c r="AI30" i="11" l="1"/>
  <c r="AI32" i="11"/>
  <c r="AJ32" i="11"/>
  <c r="AJ30" i="11"/>
  <c r="G89" i="7"/>
  <c r="T131" i="7" l="1"/>
  <c r="D40" i="9" l="1"/>
  <c r="D41" i="9" s="1"/>
  <c r="T13" i="7"/>
  <c r="T12" i="7"/>
  <c r="T14" i="7"/>
  <c r="F64" i="11"/>
  <c r="Q250" i="11" l="1"/>
  <c r="Q251" i="11"/>
  <c r="Q252" i="11"/>
  <c r="Q253" i="11"/>
  <c r="Q254" i="11"/>
  <c r="Q255" i="11"/>
  <c r="Q256" i="11"/>
  <c r="Q257" i="11"/>
  <c r="Q258" i="11"/>
  <c r="Q249" i="11"/>
  <c r="P250" i="11"/>
  <c r="P251" i="11"/>
  <c r="P252" i="11"/>
  <c r="P253" i="11"/>
  <c r="P254" i="11"/>
  <c r="P255" i="11"/>
  <c r="P256" i="11"/>
  <c r="P257" i="11"/>
  <c r="P258" i="11"/>
  <c r="P249" i="11"/>
  <c r="M249" i="11"/>
  <c r="M250" i="11"/>
  <c r="M251" i="11"/>
  <c r="M252" i="11"/>
  <c r="M253" i="11"/>
  <c r="M254" i="11"/>
  <c r="M255" i="11"/>
  <c r="M256" i="11"/>
  <c r="M257" i="11"/>
  <c r="M258" i="11"/>
  <c r="L249" i="11"/>
  <c r="L250" i="11"/>
  <c r="L251" i="11"/>
  <c r="L252" i="11"/>
  <c r="L253" i="11"/>
  <c r="L254" i="11"/>
  <c r="L255" i="11"/>
  <c r="L256" i="11"/>
  <c r="L257" i="11"/>
  <c r="L258" i="11"/>
  <c r="I249" i="11"/>
  <c r="I250" i="11"/>
  <c r="I251" i="11"/>
  <c r="I252" i="11"/>
  <c r="I253" i="11"/>
  <c r="I254" i="11"/>
  <c r="I255" i="11"/>
  <c r="I256" i="11"/>
  <c r="I257" i="11"/>
  <c r="I258" i="11"/>
  <c r="H249" i="11"/>
  <c r="H250" i="11"/>
  <c r="H251" i="11"/>
  <c r="H252" i="11"/>
  <c r="H253" i="11"/>
  <c r="H254" i="11"/>
  <c r="H255" i="11"/>
  <c r="H256" i="11"/>
  <c r="H257" i="11"/>
  <c r="H258" i="11"/>
  <c r="F13" i="11"/>
  <c r="F12" i="11" s="1"/>
  <c r="AA201" i="11"/>
  <c r="AB201" i="11"/>
  <c r="AC201" i="11"/>
  <c r="AD201" i="11"/>
  <c r="AE201" i="11"/>
  <c r="AF201" i="11"/>
  <c r="AG201" i="11"/>
  <c r="AH201" i="11"/>
  <c r="AI201" i="11"/>
  <c r="AJ201" i="11"/>
  <c r="S201" i="11"/>
  <c r="I201" i="11"/>
  <c r="G16" i="11"/>
  <c r="H16" i="11" s="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G36" i="11"/>
  <c r="J248" i="11" l="1"/>
  <c r="J249" i="11" s="1"/>
  <c r="J250" i="11" s="1"/>
  <c r="J251" i="11" s="1"/>
  <c r="J252" i="11" s="1"/>
  <c r="J253" i="11" s="1"/>
  <c r="J254" i="11" s="1"/>
  <c r="J255" i="11" s="1"/>
  <c r="J256" i="11" s="1"/>
  <c r="J257" i="11" s="1"/>
  <c r="Z201" i="11"/>
  <c r="X201" i="11"/>
  <c r="V201" i="11"/>
  <c r="T201" i="11"/>
  <c r="R201" i="11"/>
  <c r="P201" i="11"/>
  <c r="N201" i="11"/>
  <c r="L201" i="11"/>
  <c r="J201" i="11"/>
  <c r="H201" i="11"/>
  <c r="G201" i="11"/>
  <c r="Y201" i="11"/>
  <c r="W201" i="11"/>
  <c r="U201" i="11"/>
  <c r="Q201" i="11"/>
  <c r="O201" i="11"/>
  <c r="M201" i="11"/>
  <c r="K201" i="11"/>
  <c r="B189" i="11"/>
  <c r="B175" i="11"/>
  <c r="F63" i="11"/>
  <c r="D8" i="9"/>
  <c r="AI172" i="11" l="1"/>
  <c r="AI68" i="11" s="1"/>
  <c r="AG172" i="11"/>
  <c r="AG68" i="11" s="1"/>
  <c r="AE172" i="11"/>
  <c r="AE68" i="11" s="1"/>
  <c r="AC172" i="11"/>
  <c r="AC68" i="11" s="1"/>
  <c r="AA172" i="11"/>
  <c r="AA68" i="11" s="1"/>
  <c r="Y172" i="11"/>
  <c r="Y68" i="11" s="1"/>
  <c r="W172" i="11"/>
  <c r="W68" i="11" s="1"/>
  <c r="U172" i="11"/>
  <c r="U68" i="11" s="1"/>
  <c r="S172" i="11"/>
  <c r="S68" i="11" s="1"/>
  <c r="AJ186" i="11"/>
  <c r="AH186" i="11"/>
  <c r="AF186" i="11"/>
  <c r="AD186" i="11"/>
  <c r="AB186" i="11"/>
  <c r="Z186" i="11"/>
  <c r="X186" i="11"/>
  <c r="V186" i="11"/>
  <c r="T186" i="11"/>
  <c r="R186" i="11"/>
  <c r="AI186" i="11"/>
  <c r="AG186" i="11"/>
  <c r="AE186" i="11"/>
  <c r="AC186" i="11"/>
  <c r="AA186" i="11"/>
  <c r="Y186" i="11"/>
  <c r="W186" i="11"/>
  <c r="U186" i="11"/>
  <c r="S186" i="11"/>
  <c r="Q186" i="11"/>
  <c r="Q172" i="11"/>
  <c r="Q68" i="11" s="1"/>
  <c r="AJ172" i="11"/>
  <c r="AJ68" i="11" s="1"/>
  <c r="AH172" i="11"/>
  <c r="AH68" i="11" s="1"/>
  <c r="AF172" i="11"/>
  <c r="AF68" i="11" s="1"/>
  <c r="AD172" i="11"/>
  <c r="AD68" i="11" s="1"/>
  <c r="AB172" i="11"/>
  <c r="AB68" i="11" s="1"/>
  <c r="Z172" i="11"/>
  <c r="Z68" i="11" s="1"/>
  <c r="X172" i="11"/>
  <c r="X68" i="11" s="1"/>
  <c r="V172" i="11"/>
  <c r="V68" i="11" s="1"/>
  <c r="T172" i="11"/>
  <c r="T68" i="11" s="1"/>
  <c r="R172" i="11"/>
  <c r="R68" i="11" s="1"/>
  <c r="H202" i="11"/>
  <c r="I202" i="11"/>
  <c r="J202" i="11"/>
  <c r="K202" i="11"/>
  <c r="L202" i="11"/>
  <c r="M202" i="11"/>
  <c r="N202" i="11"/>
  <c r="O202" i="11"/>
  <c r="P202" i="11"/>
  <c r="Q202" i="11"/>
  <c r="R202" i="11"/>
  <c r="S202" i="11"/>
  <c r="T202" i="11"/>
  <c r="U202" i="11"/>
  <c r="V202" i="11"/>
  <c r="W202" i="11"/>
  <c r="X202" i="11"/>
  <c r="Y202" i="11"/>
  <c r="Z202" i="11"/>
  <c r="AA202" i="11"/>
  <c r="AB202" i="11"/>
  <c r="AC202" i="11"/>
  <c r="AD202" i="11"/>
  <c r="AE202" i="11"/>
  <c r="AF202" i="11"/>
  <c r="AG202" i="11"/>
  <c r="AH202" i="11"/>
  <c r="AI202" i="11"/>
  <c r="AJ202" i="11"/>
  <c r="G202" i="11"/>
  <c r="H200" i="11"/>
  <c r="I200" i="11"/>
  <c r="J200" i="11"/>
  <c r="K200" i="11"/>
  <c r="L200" i="11"/>
  <c r="M200" i="11"/>
  <c r="N200" i="11"/>
  <c r="P200" i="11"/>
  <c r="Q200" i="11"/>
  <c r="R200" i="11"/>
  <c r="S200" i="11"/>
  <c r="T200" i="11"/>
  <c r="U200" i="11"/>
  <c r="V200" i="11"/>
  <c r="W200" i="11"/>
  <c r="X200" i="11"/>
  <c r="Y200" i="11"/>
  <c r="AA200" i="11"/>
  <c r="AB200" i="11"/>
  <c r="AC200" i="11"/>
  <c r="AF200" i="11"/>
  <c r="AG200" i="11"/>
  <c r="AH200" i="11"/>
  <c r="AI200" i="11"/>
  <c r="I199" i="11"/>
  <c r="J199" i="11"/>
  <c r="K199" i="11"/>
  <c r="L199" i="11"/>
  <c r="M199" i="11"/>
  <c r="N199" i="11"/>
  <c r="O199" i="11"/>
  <c r="P199" i="11"/>
  <c r="Q199" i="11"/>
  <c r="R199" i="11"/>
  <c r="S199" i="11"/>
  <c r="T199" i="11"/>
  <c r="U199" i="11"/>
  <c r="W199" i="11"/>
  <c r="X199" i="11"/>
  <c r="Z199" i="11"/>
  <c r="AB199" i="11"/>
  <c r="AC199" i="11"/>
  <c r="AD199" i="11"/>
  <c r="AE199" i="11"/>
  <c r="AH199" i="11"/>
  <c r="AI199" i="11"/>
  <c r="AJ199" i="11"/>
  <c r="H17" i="11"/>
  <c r="I17" i="11"/>
  <c r="J17" i="11"/>
  <c r="K17" i="11"/>
  <c r="L17" i="11"/>
  <c r="M17" i="11"/>
  <c r="N17" i="11"/>
  <c r="O17" i="11"/>
  <c r="P17" i="11"/>
  <c r="Q17" i="11"/>
  <c r="R17" i="11"/>
  <c r="S17" i="11"/>
  <c r="T17" i="11"/>
  <c r="U17" i="11"/>
  <c r="G17" i="11"/>
  <c r="O14" i="7"/>
  <c r="G120" i="12"/>
  <c r="J120" i="12"/>
  <c r="G119" i="12"/>
  <c r="J119" i="12"/>
  <c r="H119" i="12"/>
  <c r="I119" i="12"/>
  <c r="G118" i="12"/>
  <c r="J118" i="12"/>
  <c r="H118" i="12"/>
  <c r="I118" i="12"/>
  <c r="G117" i="12"/>
  <c r="J117" i="12"/>
  <c r="H117" i="12"/>
  <c r="I117" i="12"/>
  <c r="J121" i="12" l="1"/>
  <c r="G121" i="12"/>
  <c r="D9" i="9"/>
  <c r="B33" i="9" l="1"/>
  <c r="C123" i="12"/>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G51" i="11"/>
  <c r="P35" i="10" l="1"/>
  <c r="P33" i="10"/>
  <c r="P36" i="10"/>
  <c r="P34" i="10"/>
  <c r="AI206" i="11"/>
  <c r="AI50" i="11" s="1"/>
  <c r="G35" i="10" s="1"/>
  <c r="AB206" i="11"/>
  <c r="AB50" i="11" s="1"/>
  <c r="G28" i="10" s="1"/>
  <c r="X206" i="11"/>
  <c r="X50" i="11" s="1"/>
  <c r="G24" i="10" s="1"/>
  <c r="T206" i="11"/>
  <c r="T50" i="11" s="1"/>
  <c r="G20" i="10" s="1"/>
  <c r="R206" i="11"/>
  <c r="R50" i="11" s="1"/>
  <c r="G18" i="10" s="1"/>
  <c r="P206" i="11"/>
  <c r="P50" i="11" s="1"/>
  <c r="G16" i="10" s="1"/>
  <c r="N206" i="11"/>
  <c r="N50" i="11" s="1"/>
  <c r="G14" i="10" s="1"/>
  <c r="L206" i="11"/>
  <c r="L50" i="11" s="1"/>
  <c r="G12" i="10" s="1"/>
  <c r="J206" i="11"/>
  <c r="J50" i="11" s="1"/>
  <c r="G10" i="10" s="1"/>
  <c r="AH206" i="11"/>
  <c r="AH50" i="11" s="1"/>
  <c r="G34" i="10" s="1"/>
  <c r="AC206" i="11"/>
  <c r="AC50" i="11" s="1"/>
  <c r="G29" i="10" s="1"/>
  <c r="W206" i="11"/>
  <c r="W50" i="11" s="1"/>
  <c r="G23" i="10" s="1"/>
  <c r="S206" i="11"/>
  <c r="S50" i="11" s="1"/>
  <c r="G19" i="10" s="1"/>
  <c r="Q206" i="11"/>
  <c r="Q50" i="11" s="1"/>
  <c r="G17" i="10" s="1"/>
  <c r="M206" i="11"/>
  <c r="M50" i="11" s="1"/>
  <c r="G13" i="10" s="1"/>
  <c r="K206" i="11"/>
  <c r="K50" i="11" s="1"/>
  <c r="G11" i="10" s="1"/>
  <c r="I206" i="11"/>
  <c r="I50" i="11" s="1"/>
  <c r="G9" i="10" s="1"/>
  <c r="B75" i="11" l="1"/>
  <c r="D43" i="9"/>
  <c r="D44" i="9" s="1"/>
  <c r="F120" i="12"/>
  <c r="F119" i="12"/>
  <c r="F118" i="12"/>
  <c r="F117" i="12"/>
  <c r="C108" i="12"/>
  <c r="C99" i="12"/>
  <c r="C100" i="12" s="1"/>
  <c r="C73" i="12"/>
  <c r="C19" i="9"/>
  <c r="H122" i="11"/>
  <c r="I122" i="11"/>
  <c r="J122" i="11"/>
  <c r="K122" i="11"/>
  <c r="L122" i="11"/>
  <c r="M122" i="11"/>
  <c r="N122" i="11"/>
  <c r="O122" i="11"/>
  <c r="Q122" i="11"/>
  <c r="S122" i="11"/>
  <c r="T122" i="11"/>
  <c r="U122" i="11"/>
  <c r="V122" i="11"/>
  <c r="W122" i="11"/>
  <c r="X122" i="11"/>
  <c r="Y122" i="11"/>
  <c r="Z122" i="11"/>
  <c r="AA122" i="11"/>
  <c r="AB122" i="11"/>
  <c r="AC122" i="11"/>
  <c r="AD122" i="11"/>
  <c r="AE122" i="11"/>
  <c r="AF122" i="11"/>
  <c r="AG122" i="11"/>
  <c r="AH122" i="11"/>
  <c r="AI122" i="11"/>
  <c r="AJ122" i="11"/>
  <c r="H125" i="11"/>
  <c r="I125" i="11"/>
  <c r="J125" i="11"/>
  <c r="K125" i="11"/>
  <c r="L125" i="11"/>
  <c r="M125" i="11"/>
  <c r="N125" i="11"/>
  <c r="O125" i="11"/>
  <c r="P125" i="11"/>
  <c r="Q125" i="11"/>
  <c r="R125" i="11"/>
  <c r="S125" i="11"/>
  <c r="T125" i="11"/>
  <c r="U125" i="11"/>
  <c r="V125" i="11"/>
  <c r="W125" i="11"/>
  <c r="X125" i="11"/>
  <c r="Y125" i="11"/>
  <c r="AA125" i="11"/>
  <c r="AB125" i="11"/>
  <c r="AC125" i="11"/>
  <c r="AD125" i="11"/>
  <c r="AE125" i="11"/>
  <c r="AF125" i="11"/>
  <c r="AG125" i="11"/>
  <c r="AH125" i="11"/>
  <c r="AI125" i="11"/>
  <c r="AJ125" i="11"/>
  <c r="G125" i="11"/>
  <c r="G126" i="11" s="1"/>
  <c r="G127" i="11" s="1"/>
  <c r="G122" i="11"/>
  <c r="G123" i="11" s="1"/>
  <c r="Z125" i="11"/>
  <c r="P122" i="11"/>
  <c r="H10" i="11"/>
  <c r="H20" i="11" s="1"/>
  <c r="H21" i="11" s="1"/>
  <c r="H9" i="11"/>
  <c r="F84" i="11"/>
  <c r="H8" i="11"/>
  <c r="H4" i="11"/>
  <c r="F90" i="11"/>
  <c r="AJ104" i="11"/>
  <c r="AI104" i="11"/>
  <c r="AH104" i="11"/>
  <c r="AG104" i="11"/>
  <c r="AF104" i="11"/>
  <c r="AE104" i="11"/>
  <c r="AD104" i="11"/>
  <c r="AC104" i="11"/>
  <c r="AB104" i="11"/>
  <c r="F121" i="12" l="1"/>
  <c r="C74" i="12"/>
  <c r="C106" i="12"/>
  <c r="P144" i="11"/>
  <c r="X144" i="11"/>
  <c r="V144" i="11"/>
  <c r="T144" i="11"/>
  <c r="AJ144" i="11"/>
  <c r="AH144" i="11"/>
  <c r="AF144" i="11"/>
  <c r="AD144" i="11"/>
  <c r="AB144" i="11"/>
  <c r="Z144" i="11"/>
  <c r="Q144" i="11"/>
  <c r="N144" i="11"/>
  <c r="L144" i="11"/>
  <c r="J144" i="11"/>
  <c r="H144" i="11"/>
  <c r="AI144" i="11"/>
  <c r="AG144" i="11"/>
  <c r="AE144" i="11"/>
  <c r="AC144" i="11"/>
  <c r="AA144" i="11"/>
  <c r="Y144" i="11"/>
  <c r="W144" i="11"/>
  <c r="U144" i="11"/>
  <c r="S144" i="11"/>
  <c r="O144" i="11"/>
  <c r="M144" i="11"/>
  <c r="K144" i="11"/>
  <c r="I144" i="11"/>
  <c r="D73" i="12"/>
  <c r="D118" i="12" s="1"/>
  <c r="C119" i="12"/>
  <c r="D99" i="12"/>
  <c r="D119" i="12" s="1"/>
  <c r="I9" i="11"/>
  <c r="D48" i="12"/>
  <c r="D117" i="12" s="1"/>
  <c r="R122" i="11"/>
  <c r="R144" i="11" s="1"/>
  <c r="C118" i="12"/>
  <c r="C117" i="12"/>
  <c r="G124" i="11"/>
  <c r="H123" i="11"/>
  <c r="H124" i="11" s="1"/>
  <c r="H126" i="11"/>
  <c r="H127" i="11" s="1"/>
  <c r="I10" i="11"/>
  <c r="I20" i="11" s="1"/>
  <c r="I21" i="11" s="1"/>
  <c r="I8" i="11"/>
  <c r="I4" i="11"/>
  <c r="C130" i="12" l="1"/>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J9" i="11"/>
  <c r="J8" i="11"/>
  <c r="I123" i="11"/>
  <c r="I126" i="11"/>
  <c r="I127" i="11" s="1"/>
  <c r="J10" i="11"/>
  <c r="J20" i="11" s="1"/>
  <c r="J21" i="11" s="1"/>
  <c r="J4" i="11"/>
  <c r="K9" i="11" l="1"/>
  <c r="K8" i="11"/>
  <c r="J123" i="11"/>
  <c r="I124" i="11"/>
  <c r="J126" i="11"/>
  <c r="J127" i="11" s="1"/>
  <c r="K10" i="11"/>
  <c r="K20" i="11" s="1"/>
  <c r="K21" i="11" s="1"/>
  <c r="K4" i="11"/>
  <c r="L9" i="11" l="1"/>
  <c r="L8" i="11"/>
  <c r="K123" i="11"/>
  <c r="J124" i="11"/>
  <c r="K126" i="11"/>
  <c r="K127" i="11" s="1"/>
  <c r="L10" i="11"/>
  <c r="L20" i="11" s="1"/>
  <c r="L21" i="11" s="1"/>
  <c r="L4" i="11"/>
  <c r="M9" i="11" l="1"/>
  <c r="M8" i="11"/>
  <c r="L123" i="11"/>
  <c r="K124" i="11"/>
  <c r="L126" i="11"/>
  <c r="L127" i="11" s="1"/>
  <c r="M10" i="11"/>
  <c r="M20" i="11" s="1"/>
  <c r="M21" i="11" s="1"/>
  <c r="M4" i="11"/>
  <c r="N9" i="11" l="1"/>
  <c r="N8" i="11"/>
  <c r="M123" i="11"/>
  <c r="L124" i="11"/>
  <c r="M126" i="11"/>
  <c r="M127" i="11" s="1"/>
  <c r="N10" i="11"/>
  <c r="N20" i="11" s="1"/>
  <c r="N21" i="11" s="1"/>
  <c r="N4" i="11"/>
  <c r="O9" i="11" l="1"/>
  <c r="O8" i="11"/>
  <c r="N123" i="11"/>
  <c r="M124" i="11"/>
  <c r="N126" i="11"/>
  <c r="N127" i="11" s="1"/>
  <c r="O10" i="11"/>
  <c r="O20" i="11" s="1"/>
  <c r="O21" i="11" s="1"/>
  <c r="O4" i="11"/>
  <c r="P9" i="11" l="1"/>
  <c r="P8" i="11"/>
  <c r="O123" i="11"/>
  <c r="N124" i="11"/>
  <c r="O126" i="11"/>
  <c r="O127" i="11" s="1"/>
  <c r="P10" i="11"/>
  <c r="P20" i="11" s="1"/>
  <c r="P21" i="11" s="1"/>
  <c r="P4" i="11"/>
  <c r="Q9" i="11" l="1"/>
  <c r="R9" i="11" s="1"/>
  <c r="S9" i="11" s="1"/>
  <c r="T9" i="11" s="1"/>
  <c r="U9" i="11" s="1"/>
  <c r="V9" i="11" s="1"/>
  <c r="W9" i="11" s="1"/>
  <c r="X9" i="11" s="1"/>
  <c r="Y9" i="11" s="1"/>
  <c r="Z9" i="11" s="1"/>
  <c r="AA9" i="11" s="1"/>
  <c r="AB9" i="11" s="1"/>
  <c r="AC9" i="11" s="1"/>
  <c r="AD9" i="11" s="1"/>
  <c r="AE9" i="11" s="1"/>
  <c r="AF9" i="11" s="1"/>
  <c r="AG9" i="11" s="1"/>
  <c r="AH9" i="11" s="1"/>
  <c r="AI9" i="11" s="1"/>
  <c r="AJ9" i="11" s="1"/>
  <c r="O124" i="11"/>
  <c r="P123" i="11"/>
  <c r="Q8" i="11"/>
  <c r="P126" i="11"/>
  <c r="P127" i="11" s="1"/>
  <c r="Q10" i="1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Q4" i="11"/>
  <c r="P124" i="11" l="1"/>
  <c r="Q123" i="11"/>
  <c r="R8" i="11"/>
  <c r="Q126" i="11"/>
  <c r="Q127" i="11" s="1"/>
  <c r="R4" i="11"/>
  <c r="Q124" i="11" l="1"/>
  <c r="R123" i="11"/>
  <c r="S8" i="11"/>
  <c r="R126" i="11"/>
  <c r="R127" i="11" s="1"/>
  <c r="S4" i="11"/>
  <c r="R124" i="11" l="1"/>
  <c r="S123" i="11"/>
  <c r="T8" i="11"/>
  <c r="S126" i="11"/>
  <c r="S127" i="11" s="1"/>
  <c r="T4" i="11"/>
  <c r="S124" i="11" l="1"/>
  <c r="T123" i="11"/>
  <c r="U8" i="11"/>
  <c r="T126" i="11"/>
  <c r="T127" i="11" s="1"/>
  <c r="U4" i="11"/>
  <c r="T124" i="11" l="1"/>
  <c r="U123" i="11"/>
  <c r="V8" i="11"/>
  <c r="U126" i="11"/>
  <c r="U127" i="11" s="1"/>
  <c r="V4" i="11"/>
  <c r="V123" i="11" l="1"/>
  <c r="U124" i="11"/>
  <c r="W8" i="11"/>
  <c r="V126" i="11"/>
  <c r="V127" i="11" s="1"/>
  <c r="W4" i="11"/>
  <c r="V124" i="11" l="1"/>
  <c r="W123" i="11"/>
  <c r="X8" i="11"/>
  <c r="W126" i="11"/>
  <c r="W127" i="11" s="1"/>
  <c r="X4" i="11"/>
  <c r="W124" i="11" l="1"/>
  <c r="X123" i="11"/>
  <c r="Y8" i="11"/>
  <c r="X126" i="11"/>
  <c r="X127" i="11" s="1"/>
  <c r="Y4" i="11"/>
  <c r="Y123" i="11" l="1"/>
  <c r="X124" i="11"/>
  <c r="Z8" i="11"/>
  <c r="Y126" i="11"/>
  <c r="Z4" i="11"/>
  <c r="Y127" i="11" l="1"/>
  <c r="Z126" i="11"/>
  <c r="Y124" i="11"/>
  <c r="Z123" i="11"/>
  <c r="AA8" i="11"/>
  <c r="AA4" i="11"/>
  <c r="Z124" i="11" l="1"/>
  <c r="AA123" i="11"/>
  <c r="Z127" i="11"/>
  <c r="AA126" i="11"/>
  <c r="AB8" i="11"/>
  <c r="AB4" i="11"/>
  <c r="AA127" i="11" l="1"/>
  <c r="AB126" i="11"/>
  <c r="AB123" i="11"/>
  <c r="AA124" i="11"/>
  <c r="AC8" i="11"/>
  <c r="AC4" i="11"/>
  <c r="AB127" i="11" l="1"/>
  <c r="AC126" i="11"/>
  <c r="AC123" i="11"/>
  <c r="AB124" i="11"/>
  <c r="AD8" i="11"/>
  <c r="AD4" i="11"/>
  <c r="AC127" i="11" l="1"/>
  <c r="AD126" i="11"/>
  <c r="AC124" i="11"/>
  <c r="AD123" i="11"/>
  <c r="AE8" i="11"/>
  <c r="AE4" i="11"/>
  <c r="AE123" i="11" l="1"/>
  <c r="AD124" i="11"/>
  <c r="AD127" i="11"/>
  <c r="AE126" i="11"/>
  <c r="AF8" i="11"/>
  <c r="AG8" i="11" s="1"/>
  <c r="AH8" i="11" s="1"/>
  <c r="AI8" i="11" s="1"/>
  <c r="AJ8" i="11" s="1"/>
  <c r="AF4" i="11"/>
  <c r="AE127" i="11" l="1"/>
  <c r="AF126" i="11"/>
  <c r="AF123" i="11"/>
  <c r="AE124" i="11"/>
  <c r="AG4" i="11"/>
  <c r="AF127" i="11" l="1"/>
  <c r="AG126" i="11"/>
  <c r="AF124" i="11"/>
  <c r="AG123" i="11"/>
  <c r="AH4" i="11"/>
  <c r="AH123" i="11" l="1"/>
  <c r="AG124" i="11"/>
  <c r="AG127" i="11"/>
  <c r="AH126" i="11"/>
  <c r="AI4" i="11"/>
  <c r="AH127" i="11" l="1"/>
  <c r="AI126" i="11"/>
  <c r="AI123" i="11"/>
  <c r="AH124" i="11"/>
  <c r="AJ4" i="11"/>
  <c r="AI127" i="11" l="1"/>
  <c r="AJ126" i="11"/>
  <c r="AJ127" i="11" s="1"/>
  <c r="AI124" i="11"/>
  <c r="AJ123" i="11"/>
  <c r="AJ124" i="11" s="1"/>
  <c r="B35" i="9" l="1"/>
  <c r="B32" i="9"/>
  <c r="B31" i="9"/>
  <c r="D36" i="9"/>
  <c r="D32" i="9"/>
  <c r="D33" i="9"/>
  <c r="B36" i="9"/>
  <c r="B23" i="9"/>
  <c r="B19" i="9"/>
  <c r="B18" i="9"/>
  <c r="D19" i="9"/>
  <c r="D23" i="9"/>
  <c r="D31" i="9"/>
  <c r="Q109" i="7"/>
  <c r="G57" i="7" s="1"/>
  <c r="G44" i="7" l="1"/>
  <c r="G45" i="7" s="1"/>
  <c r="G64" i="7"/>
  <c r="D37" i="9"/>
  <c r="D38" i="9"/>
  <c r="P186" i="11"/>
  <c r="O186" i="11"/>
  <c r="M186" i="11"/>
  <c r="N186" i="11"/>
  <c r="L186" i="11"/>
  <c r="AG17" i="11"/>
  <c r="AG19" i="11"/>
  <c r="AI19" i="11"/>
  <c r="AI17" i="11"/>
  <c r="AJ19" i="11"/>
  <c r="AJ17" i="11"/>
  <c r="AF17" i="11"/>
  <c r="AF19" i="11"/>
  <c r="AH17" i="11"/>
  <c r="AH19" i="11"/>
  <c r="AE17" i="11"/>
  <c r="AA17" i="11"/>
  <c r="AD17" i="11"/>
  <c r="AB17" i="11"/>
  <c r="AC17" i="11"/>
  <c r="Z17" i="11"/>
  <c r="X17" i="11"/>
  <c r="V17" i="11"/>
  <c r="Y17" i="11"/>
  <c r="W17" i="11"/>
  <c r="AE19" i="11"/>
  <c r="AC19" i="11"/>
  <c r="AA19" i="11"/>
  <c r="AD19" i="11"/>
  <c r="AB19" i="11"/>
  <c r="Z19" i="11"/>
  <c r="X19" i="11"/>
  <c r="V19" i="11"/>
  <c r="T19" i="11"/>
  <c r="P19" i="11"/>
  <c r="N19" i="11"/>
  <c r="L19" i="11"/>
  <c r="J19" i="11"/>
  <c r="H19" i="11"/>
  <c r="Y19" i="11"/>
  <c r="W19" i="11"/>
  <c r="U19" i="11"/>
  <c r="S19" i="11"/>
  <c r="Q19" i="11"/>
  <c r="O19" i="11"/>
  <c r="M19" i="11"/>
  <c r="K19" i="11"/>
  <c r="I19" i="11"/>
  <c r="G19" i="11"/>
  <c r="R19" i="11"/>
  <c r="B105" i="12"/>
  <c r="B120" i="12" s="1"/>
  <c r="E120" i="12" s="1"/>
  <c r="C107" i="12" l="1"/>
  <c r="H120" i="12" s="1"/>
  <c r="H121" i="12" s="1"/>
  <c r="G47" i="7"/>
  <c r="G49" i="7" s="1"/>
  <c r="U206" i="11"/>
  <c r="U50" i="11" s="1"/>
  <c r="G21" i="10" s="1"/>
  <c r="G48" i="7" l="1"/>
  <c r="J258" i="11"/>
  <c r="N258" i="11" s="1"/>
  <c r="N248" i="11" l="1"/>
  <c r="N249" i="11" s="1"/>
  <c r="N250" i="11" s="1"/>
  <c r="N251" i="11" s="1"/>
  <c r="N252" i="11" s="1"/>
  <c r="N253" i="11" s="1"/>
  <c r="N254" i="11" s="1"/>
  <c r="N255" i="11" s="1"/>
  <c r="N256" i="11" s="1"/>
  <c r="N257" i="11" s="1"/>
  <c r="S247" i="11" l="1"/>
  <c r="R247" i="11"/>
  <c r="G75" i="11" s="1"/>
  <c r="G12" i="11" l="1"/>
  <c r="D7" i="9" l="1"/>
  <c r="H12" i="11"/>
  <c r="I12" i="11" s="1"/>
  <c r="J12" i="11" s="1"/>
  <c r="G13" i="11"/>
  <c r="H13" i="11" s="1"/>
  <c r="I13" i="11" s="1"/>
  <c r="J13" i="11" s="1"/>
  <c r="K13" i="11" s="1"/>
  <c r="L13" i="11" s="1"/>
  <c r="M13" i="11" s="1"/>
  <c r="N13" i="11" s="1"/>
  <c r="O13" i="11" s="1"/>
  <c r="P13" i="11" s="1"/>
  <c r="Q13" i="11" s="1"/>
  <c r="R13" i="11" s="1"/>
  <c r="S13" i="11" s="1"/>
  <c r="T13" i="11" s="1"/>
  <c r="U13" i="11" s="1"/>
  <c r="V13" i="11" s="1"/>
  <c r="W13" i="11" s="1"/>
  <c r="X13" i="11" s="1"/>
  <c r="Y13" i="11" s="1"/>
  <c r="Z13" i="11" s="1"/>
  <c r="AA13" i="11" s="1"/>
  <c r="AB13" i="11" s="1"/>
  <c r="AC13" i="11" s="1"/>
  <c r="AD13" i="11" s="1"/>
  <c r="AE13" i="11" s="1"/>
  <c r="AF13" i="11" s="1"/>
  <c r="AG13" i="11" s="1"/>
  <c r="AH13" i="11" s="1"/>
  <c r="AI13" i="11" s="1"/>
  <c r="AJ13" i="11" s="1"/>
  <c r="G14" i="11" l="1"/>
  <c r="G15" i="11" s="1"/>
  <c r="I14" i="11"/>
  <c r="C9" i="10" s="1"/>
  <c r="H14" i="11"/>
  <c r="C8" i="10" s="1"/>
  <c r="K12" i="11"/>
  <c r="J14" i="11"/>
  <c r="G37" i="11" l="1"/>
  <c r="Q37" i="7" s="1"/>
  <c r="C7" i="10"/>
  <c r="I15" i="11"/>
  <c r="H15" i="11"/>
  <c r="L12" i="11"/>
  <c r="K14" i="11"/>
  <c r="J15" i="11"/>
  <c r="C10" i="10"/>
  <c r="I37" i="11" l="1"/>
  <c r="H37" i="11"/>
  <c r="J37" i="11"/>
  <c r="M12" i="11"/>
  <c r="L14" i="11"/>
  <c r="K15" i="11"/>
  <c r="C11" i="10"/>
  <c r="K37" i="11" l="1"/>
  <c r="L15" i="11"/>
  <c r="C12" i="10"/>
  <c r="N12" i="11"/>
  <c r="M14" i="11"/>
  <c r="L37" i="11" l="1"/>
  <c r="C13" i="10"/>
  <c r="M15" i="11"/>
  <c r="O12" i="11"/>
  <c r="N14" i="11"/>
  <c r="M37" i="11" l="1"/>
  <c r="C14" i="10"/>
  <c r="N15" i="11"/>
  <c r="O14" i="11"/>
  <c r="P12" i="11"/>
  <c r="N37" i="11" l="1"/>
  <c r="P14" i="11"/>
  <c r="Q12" i="11"/>
  <c r="C15" i="10"/>
  <c r="O15" i="11"/>
  <c r="O37" i="11" l="1"/>
  <c r="P15" i="11"/>
  <c r="C16" i="10"/>
  <c r="Q14" i="11"/>
  <c r="R12" i="11"/>
  <c r="P37" i="11" l="1"/>
  <c r="S12" i="11"/>
  <c r="R14" i="11"/>
  <c r="C17" i="10"/>
  <c r="Q15" i="11"/>
  <c r="Q37" i="11" l="1"/>
  <c r="C18" i="10"/>
  <c r="R15" i="11"/>
  <c r="T12" i="11"/>
  <c r="S14" i="11"/>
  <c r="R37" i="11" l="1"/>
  <c r="U12" i="11"/>
  <c r="T14" i="11"/>
  <c r="C19" i="10"/>
  <c r="S15" i="11"/>
  <c r="S37" i="11" l="1"/>
  <c r="T15" i="11"/>
  <c r="C20" i="10"/>
  <c r="V12" i="11"/>
  <c r="U14" i="11"/>
  <c r="T37" i="11" l="1"/>
  <c r="V14" i="11"/>
  <c r="W12" i="11"/>
  <c r="U15" i="11"/>
  <c r="C21" i="10"/>
  <c r="U37" i="11" l="1"/>
  <c r="V15" i="11"/>
  <c r="C22" i="10"/>
  <c r="W14" i="11"/>
  <c r="X12" i="11"/>
  <c r="V37" i="11" l="1"/>
  <c r="X14" i="11"/>
  <c r="Y12" i="11"/>
  <c r="W15" i="11"/>
  <c r="C23" i="10"/>
  <c r="W37" i="11" l="1"/>
  <c r="X15" i="11"/>
  <c r="C24" i="10"/>
  <c r="Y14" i="11"/>
  <c r="Z12" i="11"/>
  <c r="X37" i="11" l="1"/>
  <c r="Y15" i="11"/>
  <c r="C25" i="10"/>
  <c r="AA12" i="11"/>
  <c r="Z14" i="11"/>
  <c r="Y37" i="11" l="1"/>
  <c r="AA14" i="11"/>
  <c r="AB12" i="11"/>
  <c r="Z15" i="11"/>
  <c r="C26" i="10"/>
  <c r="Z37" i="11" l="1"/>
  <c r="AC12" i="11"/>
  <c r="AB14" i="11"/>
  <c r="C27" i="10"/>
  <c r="AA15" i="11"/>
  <c r="AA37" i="11" l="1"/>
  <c r="AB15" i="11"/>
  <c r="C28" i="10"/>
  <c r="AC14" i="11"/>
  <c r="AD12" i="11"/>
  <c r="AB37" i="11" l="1"/>
  <c r="AC15" i="11"/>
  <c r="C29" i="10"/>
  <c r="AE12" i="11"/>
  <c r="AD14" i="11"/>
  <c r="AC37" i="11" l="1"/>
  <c r="AE14" i="11"/>
  <c r="AE15" i="11" s="1"/>
  <c r="AF12" i="11"/>
  <c r="AD15" i="11"/>
  <c r="C30" i="10"/>
  <c r="C31" i="10" l="1"/>
  <c r="AD37" i="11"/>
  <c r="AE37" i="11"/>
  <c r="AF14" i="11"/>
  <c r="AG12" i="11"/>
  <c r="AH12" i="11" l="1"/>
  <c r="AG14" i="11"/>
  <c r="AF15" i="11"/>
  <c r="AF37" i="11" s="1"/>
  <c r="C32" i="10"/>
  <c r="AD200" i="11"/>
  <c r="AD206" i="11" s="1"/>
  <c r="AD50" i="11" s="1"/>
  <c r="G30" i="10" s="1"/>
  <c r="C33" i="10" l="1"/>
  <c r="AG15" i="11"/>
  <c r="AG37" i="11" s="1"/>
  <c r="AI12" i="11"/>
  <c r="AH14" i="11"/>
  <c r="AJ12" i="11" l="1"/>
  <c r="AJ14" i="11" s="1"/>
  <c r="AI14" i="11"/>
  <c r="C34" i="10"/>
  <c r="AH15" i="11"/>
  <c r="AH37" i="11" s="1"/>
  <c r="D14" i="9" l="1"/>
  <c r="C36" i="10"/>
  <c r="AJ15" i="11"/>
  <c r="AJ37" i="11" s="1"/>
  <c r="C35" i="10"/>
  <c r="AI15" i="11"/>
  <c r="AI37" i="11" s="1"/>
  <c r="H199" i="11"/>
  <c r="H206" i="11" s="1"/>
  <c r="H50" i="11" s="1"/>
  <c r="G8" i="10" s="1"/>
  <c r="AG199" i="11"/>
  <c r="AG206" i="11" s="1"/>
  <c r="AG50" i="11" s="1"/>
  <c r="G33" i="10" s="1"/>
  <c r="AF199" i="11"/>
  <c r="AF206" i="11" s="1"/>
  <c r="AF50" i="11" s="1"/>
  <c r="G32" i="10" s="1"/>
  <c r="G199" i="11" l="1"/>
  <c r="G200" i="11" l="1"/>
  <c r="G206" i="11" s="1"/>
  <c r="G50" i="11" s="1"/>
  <c r="G7" i="10" s="1"/>
  <c r="AA199" i="11" l="1"/>
  <c r="AA206" i="11" s="1"/>
  <c r="AA50" i="11" s="1"/>
  <c r="G27" i="10" s="1"/>
  <c r="AH89" i="11" l="1"/>
  <c r="AH90" i="11"/>
  <c r="AG89" i="11"/>
  <c r="AG90" i="11"/>
  <c r="AJ89" i="11"/>
  <c r="AJ90" i="11"/>
  <c r="AI89" i="11"/>
  <c r="AI90" i="11"/>
  <c r="AF89" i="11"/>
  <c r="AD89" i="11"/>
  <c r="AF90" i="11"/>
  <c r="AA90" i="11"/>
  <c r="AB89" i="11"/>
  <c r="AA89" i="11"/>
  <c r="AE89" i="11"/>
  <c r="AB90" i="11"/>
  <c r="AC89" i="11"/>
  <c r="AE90" i="11"/>
  <c r="AD90" i="11"/>
  <c r="AC90" i="11"/>
  <c r="Z90" i="11"/>
  <c r="Z89" i="11"/>
  <c r="Y89" i="11"/>
  <c r="Y90" i="11"/>
  <c r="Z46" i="11" l="1"/>
  <c r="Z88" i="11"/>
  <c r="F26" i="10" s="1"/>
  <c r="Z49" i="11"/>
  <c r="Z95" i="11"/>
  <c r="AD49" i="11"/>
  <c r="AD95" i="11"/>
  <c r="AC46" i="11"/>
  <c r="AC88" i="11"/>
  <c r="F29" i="10" s="1"/>
  <c r="AE88" i="11"/>
  <c r="F31" i="10" s="1"/>
  <c r="AE46" i="11"/>
  <c r="AB88" i="11"/>
  <c r="F28" i="10" s="1"/>
  <c r="AB46" i="11"/>
  <c r="AF49" i="11"/>
  <c r="AF95" i="11"/>
  <c r="AF88" i="11"/>
  <c r="F32" i="10" s="1"/>
  <c r="AF46" i="11"/>
  <c r="AI46" i="11"/>
  <c r="AI88" i="11"/>
  <c r="AJ46" i="11"/>
  <c r="AJ88" i="11"/>
  <c r="AG46" i="11"/>
  <c r="AG88" i="11"/>
  <c r="AH46" i="11"/>
  <c r="AH88" i="11"/>
  <c r="Y49" i="11"/>
  <c r="Y95" i="11"/>
  <c r="Y46" i="11"/>
  <c r="Y88" i="11"/>
  <c r="F25" i="10" s="1"/>
  <c r="AC95" i="11"/>
  <c r="AC49" i="11"/>
  <c r="AE95" i="11"/>
  <c r="AE49" i="11"/>
  <c r="AB95" i="11"/>
  <c r="AB49" i="11"/>
  <c r="AA46" i="11"/>
  <c r="AA88" i="11"/>
  <c r="F27" i="10" s="1"/>
  <c r="AA95" i="11"/>
  <c r="AA49" i="11"/>
  <c r="AD88" i="11"/>
  <c r="F30" i="10" s="1"/>
  <c r="AD46" i="11"/>
  <c r="AI95" i="11"/>
  <c r="AI49" i="11"/>
  <c r="AJ95" i="11"/>
  <c r="AJ49" i="11"/>
  <c r="AG95" i="11"/>
  <c r="AG49" i="11"/>
  <c r="AH95" i="11"/>
  <c r="AH49" i="11"/>
  <c r="F34" i="10" l="1"/>
  <c r="F33" i="10"/>
  <c r="F36" i="10"/>
  <c r="F35" i="10"/>
  <c r="P25" i="10" l="1"/>
  <c r="P26" i="10" l="1"/>
  <c r="P27" i="10" l="1"/>
  <c r="P28" i="10" l="1"/>
  <c r="P30" i="10" l="1"/>
  <c r="P29" i="10"/>
  <c r="P32" i="10"/>
  <c r="P31" i="10" l="1"/>
  <c r="N91" i="7" l="1"/>
  <c r="O200" i="11" l="1"/>
  <c r="O206" i="11" s="1"/>
  <c r="O50" i="11" s="1"/>
  <c r="G15" i="10" s="1"/>
  <c r="Z200" i="11" l="1"/>
  <c r="Z206" i="11" s="1"/>
  <c r="Z50" i="11" s="1"/>
  <c r="G26" i="10" s="1"/>
  <c r="H183" i="11" l="1"/>
  <c r="H186" i="11" s="1"/>
  <c r="J183" i="11"/>
  <c r="J186" i="11" s="1"/>
  <c r="I183" i="11"/>
  <c r="I186" i="11" s="1"/>
  <c r="K183" i="11"/>
  <c r="K186" i="11" s="1"/>
  <c r="G183" i="11"/>
  <c r="G186" i="11" l="1"/>
  <c r="Q73" i="7"/>
  <c r="I170" i="11" l="1"/>
  <c r="I172" i="11" s="1"/>
  <c r="I68" i="11" s="1"/>
  <c r="K170" i="11"/>
  <c r="K172" i="11" s="1"/>
  <c r="K68" i="11" s="1"/>
  <c r="M170" i="11"/>
  <c r="M172" i="11" s="1"/>
  <c r="M68" i="11" s="1"/>
  <c r="O170" i="11"/>
  <c r="O172" i="11" s="1"/>
  <c r="O68" i="11" s="1"/>
  <c r="G170" i="11"/>
  <c r="H170" i="11"/>
  <c r="H172" i="11" s="1"/>
  <c r="H68" i="11" s="1"/>
  <c r="J170" i="11"/>
  <c r="J172" i="11" s="1"/>
  <c r="J68" i="11" s="1"/>
  <c r="L170" i="11"/>
  <c r="L172" i="11" s="1"/>
  <c r="L68" i="11" s="1"/>
  <c r="N170" i="11"/>
  <c r="N172" i="11" s="1"/>
  <c r="N68" i="11" s="1"/>
  <c r="P170" i="11"/>
  <c r="P172" i="11" s="1"/>
  <c r="P68" i="11" s="1"/>
  <c r="G189" i="11" l="1"/>
  <c r="G175" i="11" l="1"/>
  <c r="H192" i="11"/>
  <c r="H193" i="11"/>
  <c r="H69" i="11" s="1"/>
  <c r="G192" i="11"/>
  <c r="G193" i="11"/>
  <c r="G69" i="11" s="1"/>
  <c r="H179" i="11" l="1"/>
  <c r="G178" i="11"/>
  <c r="G179" i="11"/>
  <c r="G194" i="11"/>
  <c r="H191" i="11" s="1"/>
  <c r="H194" i="11" s="1"/>
  <c r="I191" i="11" s="1"/>
  <c r="G180" i="11" l="1"/>
  <c r="H177" i="11" s="1"/>
  <c r="I193" i="11"/>
  <c r="I69" i="11" s="1"/>
  <c r="I192" i="11"/>
  <c r="I194" i="11" l="1"/>
  <c r="J191" i="11" s="1"/>
  <c r="I179" i="11"/>
  <c r="I178" i="11"/>
  <c r="H189" i="11" l="1"/>
  <c r="J189" i="11"/>
  <c r="H175" i="11" l="1"/>
  <c r="H178" i="11" s="1"/>
  <c r="H180" i="11" s="1"/>
  <c r="I177" i="11" s="1"/>
  <c r="I180" i="11" s="1"/>
  <c r="J177" i="11" s="1"/>
  <c r="K192" i="11"/>
  <c r="J193" i="11"/>
  <c r="J69" i="11" s="1"/>
  <c r="J192" i="11"/>
  <c r="J175" i="11"/>
  <c r="I189" i="11" l="1"/>
  <c r="K175" i="11"/>
  <c r="J179" i="11"/>
  <c r="J178" i="11"/>
  <c r="J194" i="11"/>
  <c r="I175" i="11" l="1"/>
  <c r="J180" i="11"/>
  <c r="K177" i="11" s="1"/>
  <c r="K191" i="11"/>
  <c r="K193" i="11"/>
  <c r="K69" i="11" s="1"/>
  <c r="K179" i="11"/>
  <c r="K178" i="11"/>
  <c r="K180" i="11" l="1"/>
  <c r="L177" i="11" s="1"/>
  <c r="K194" i="11"/>
  <c r="L191" i="11" s="1"/>
  <c r="L189" i="11"/>
  <c r="K189" i="11" l="1"/>
  <c r="L193" i="11"/>
  <c r="L69" i="11" s="1"/>
  <c r="L192" i="11"/>
  <c r="L175" i="11"/>
  <c r="M192" i="11"/>
  <c r="M175" i="11" l="1"/>
  <c r="L194" i="11"/>
  <c r="L178" i="11"/>
  <c r="L179" i="11"/>
  <c r="L180" i="11" l="1"/>
  <c r="M177" i="11" s="1"/>
  <c r="M191" i="11"/>
  <c r="M193" i="11"/>
  <c r="M69" i="11" s="1"/>
  <c r="M179" i="11"/>
  <c r="M178" i="11"/>
  <c r="M189" i="11" l="1"/>
  <c r="M180" i="11"/>
  <c r="N177" i="11" s="1"/>
  <c r="M194" i="11"/>
  <c r="N191" i="11" s="1"/>
  <c r="N189" i="11"/>
  <c r="N192" i="11" l="1"/>
  <c r="N193" i="11"/>
  <c r="N69" i="11" s="1"/>
  <c r="O192" i="11"/>
  <c r="N175" i="11"/>
  <c r="O175" i="11" l="1"/>
  <c r="N179" i="11"/>
  <c r="N178" i="11"/>
  <c r="N194" i="11"/>
  <c r="O191" i="11" l="1"/>
  <c r="O193" i="11"/>
  <c r="O69" i="11" s="1"/>
  <c r="O178" i="11"/>
  <c r="N180" i="11"/>
  <c r="O177" i="11" s="1"/>
  <c r="O189" i="11" l="1"/>
  <c r="O179" i="11"/>
  <c r="O194" i="11"/>
  <c r="P191" i="11" s="1"/>
  <c r="P189" i="11"/>
  <c r="O180" i="11" l="1"/>
  <c r="P177" i="11" s="1"/>
  <c r="P193" i="11"/>
  <c r="P69" i="11" s="1"/>
  <c r="P192" i="11"/>
  <c r="Q189" i="11"/>
  <c r="P175" i="11"/>
  <c r="Q192" i="11" l="1"/>
  <c r="P178" i="11"/>
  <c r="P179" i="11"/>
  <c r="Q175" i="11"/>
  <c r="R189" i="11"/>
  <c r="P194" i="11"/>
  <c r="Q191" i="11" s="1"/>
  <c r="P180" i="11" l="1"/>
  <c r="Q177" i="11" s="1"/>
  <c r="R175" i="11"/>
  <c r="S189" i="11"/>
  <c r="Q193" i="11"/>
  <c r="Q69" i="11" s="1"/>
  <c r="R192" i="11"/>
  <c r="Q179" i="11"/>
  <c r="Q178" i="11"/>
  <c r="Q180" i="11" l="1"/>
  <c r="R177" i="11" s="1"/>
  <c r="S175" i="11"/>
  <c r="R178" i="11"/>
  <c r="R179" i="11"/>
  <c r="T189" i="11"/>
  <c r="Q194" i="11"/>
  <c r="S192" i="11"/>
  <c r="R180" i="11" l="1"/>
  <c r="S177" i="11" s="1"/>
  <c r="R191" i="11"/>
  <c r="R193" i="11"/>
  <c r="R69" i="11" s="1"/>
  <c r="T192" i="11"/>
  <c r="T175" i="11"/>
  <c r="S178" i="11"/>
  <c r="S179" i="11" l="1"/>
  <c r="R194" i="11"/>
  <c r="S193" i="11" s="1"/>
  <c r="S69" i="11" s="1"/>
  <c r="T178" i="11"/>
  <c r="S180" i="11" l="1"/>
  <c r="T177" i="11" s="1"/>
  <c r="S191" i="11"/>
  <c r="S194" i="11" s="1"/>
  <c r="T179" i="11"/>
  <c r="T180" i="11" l="1"/>
  <c r="U177" i="11" s="1"/>
  <c r="U189" i="11"/>
  <c r="U192" i="11" s="1"/>
  <c r="V189" i="11"/>
  <c r="V192" i="11" s="1"/>
  <c r="T191" i="11"/>
  <c r="T193" i="11"/>
  <c r="T69" i="11" s="1"/>
  <c r="U178" i="11" l="1"/>
  <c r="U179" i="11"/>
  <c r="T194" i="11"/>
  <c r="U180" i="11" l="1"/>
  <c r="V177" i="11" s="1"/>
  <c r="U191" i="11"/>
  <c r="U193" i="11"/>
  <c r="U69" i="11" s="1"/>
  <c r="X189" i="11"/>
  <c r="V179" i="11" l="1"/>
  <c r="W189" i="11"/>
  <c r="W192" i="11" s="1"/>
  <c r="U194" i="11"/>
  <c r="V193" i="11" s="1"/>
  <c r="V69" i="11" s="1"/>
  <c r="X175" i="11"/>
  <c r="X192" i="11"/>
  <c r="V191" i="11" l="1"/>
  <c r="V194" i="11" s="1"/>
  <c r="W175" i="11"/>
  <c r="X178" i="11"/>
  <c r="W178" i="11" l="1"/>
  <c r="W179" i="11"/>
  <c r="W191" i="11"/>
  <c r="W193" i="11"/>
  <c r="W69" i="11" s="1"/>
  <c r="W194" i="11" l="1"/>
  <c r="U175" i="11" l="1"/>
  <c r="Z189" i="11"/>
  <c r="Z192" i="11" s="1"/>
  <c r="X177" i="11"/>
  <c r="X179" i="11"/>
  <c r="X191" i="11"/>
  <c r="X193" i="11"/>
  <c r="X69" i="11" s="1"/>
  <c r="Z178" i="11"/>
  <c r="V175" i="11" l="1"/>
  <c r="V178" i="11" s="1"/>
  <c r="V180" i="11" s="1"/>
  <c r="W177" i="11" s="1"/>
  <c r="W180" i="11" s="1"/>
  <c r="Y189" i="11"/>
  <c r="Y192" i="11" s="1"/>
  <c r="X180" i="11"/>
  <c r="X194" i="11"/>
  <c r="Y191" i="11" s="1"/>
  <c r="Y193" i="11" l="1"/>
  <c r="Y69" i="11" s="1"/>
  <c r="Y179" i="11"/>
  <c r="Y177" i="11"/>
  <c r="AB175" i="11"/>
  <c r="Y194" i="11" l="1"/>
  <c r="AA189" i="11"/>
  <c r="AA192" i="11" s="1"/>
  <c r="AB178" i="11"/>
  <c r="Z191" i="11"/>
  <c r="Z193" i="11"/>
  <c r="Z69" i="11" s="1"/>
  <c r="Z179" i="11" l="1"/>
  <c r="Z194" i="11"/>
  <c r="AA193" i="11" s="1"/>
  <c r="AA69" i="11" s="1"/>
  <c r="AA177" i="11" l="1"/>
  <c r="AA179" i="11"/>
  <c r="AA191" i="11"/>
  <c r="AA194" i="11" s="1"/>
  <c r="AD175" i="11"/>
  <c r="Y175" i="11" l="1"/>
  <c r="Y178" i="11" s="1"/>
  <c r="Y180" i="11" s="1"/>
  <c r="Z177" i="11" s="1"/>
  <c r="Z180" i="11" s="1"/>
  <c r="AC189" i="11"/>
  <c r="AC192" i="11" s="1"/>
  <c r="AD178" i="11"/>
  <c r="AB191" i="11"/>
  <c r="AB193" i="11"/>
  <c r="AB69" i="11" s="1"/>
  <c r="AB189" i="11" l="1"/>
  <c r="AB192" i="11" s="1"/>
  <c r="AB194" i="11" s="1"/>
  <c r="AD189" i="11"/>
  <c r="AD192" i="11" s="1"/>
  <c r="AB177" i="11"/>
  <c r="AB179" i="11"/>
  <c r="AA175" i="11" l="1"/>
  <c r="AA178" i="11" s="1"/>
  <c r="AA180" i="11" s="1"/>
  <c r="AB180" i="11"/>
  <c r="AC191" i="11"/>
  <c r="AC193" i="11"/>
  <c r="AC69" i="11" s="1"/>
  <c r="AE175" i="11"/>
  <c r="AC177" i="11" l="1"/>
  <c r="AC179" i="11"/>
  <c r="AE178" i="11"/>
  <c r="AC194" i="11"/>
  <c r="Z175" i="11" l="1"/>
  <c r="AE189" i="11"/>
  <c r="AE192" i="11" s="1"/>
  <c r="AF189" i="11"/>
  <c r="AF192" i="11" s="1"/>
  <c r="AD191" i="11"/>
  <c r="AD193" i="11"/>
  <c r="AD69" i="11" s="1"/>
  <c r="AD177" i="11" l="1"/>
  <c r="AD179" i="11"/>
  <c r="AD194" i="11"/>
  <c r="AD180" i="11" l="1"/>
  <c r="AE191" i="11"/>
  <c r="AE193" i="11"/>
  <c r="AE69" i="11" s="1"/>
  <c r="AE177" i="11" l="1"/>
  <c r="AE179" i="11"/>
  <c r="AE194" i="11"/>
  <c r="AF193" i="11" s="1"/>
  <c r="AF69" i="11" s="1"/>
  <c r="AH175" i="11"/>
  <c r="AG189" i="11" l="1"/>
  <c r="AG192" i="11" s="1"/>
  <c r="AF191" i="11"/>
  <c r="AF194" i="11" s="1"/>
  <c r="AE180" i="11"/>
  <c r="AH178" i="11"/>
  <c r="AI175" i="11"/>
  <c r="AF177" i="11" l="1"/>
  <c r="AF179" i="11"/>
  <c r="AG193" i="11"/>
  <c r="AG69" i="11" s="1"/>
  <c r="AG191" i="11"/>
  <c r="AI178" i="11"/>
  <c r="AG194" i="11" l="1"/>
  <c r="AH193" i="11" s="1"/>
  <c r="AH69" i="11" s="1"/>
  <c r="AH191" i="11"/>
  <c r="AJ175" i="11"/>
  <c r="AG179" i="11" l="1"/>
  <c r="AG177" i="11"/>
  <c r="AJ178" i="11"/>
  <c r="AC175" i="11" l="1"/>
  <c r="AC178" i="11" s="1"/>
  <c r="AC180" i="11" s="1"/>
  <c r="AH189" i="11"/>
  <c r="AH192" i="11" s="1"/>
  <c r="AH194" i="11" s="1"/>
  <c r="AI189" i="11"/>
  <c r="AI192" i="11" s="1"/>
  <c r="AH177" i="11"/>
  <c r="AH179" i="11"/>
  <c r="AI193" i="11"/>
  <c r="AI69" i="11" s="1"/>
  <c r="AI191" i="11"/>
  <c r="AI194" i="11" l="1"/>
  <c r="AJ193" i="11" s="1"/>
  <c r="AJ69" i="11" s="1"/>
  <c r="AH180" i="11"/>
  <c r="AJ191" i="11"/>
  <c r="AI177" i="11" l="1"/>
  <c r="AI179" i="11"/>
  <c r="AJ189" i="11" l="1"/>
  <c r="AJ192" i="11" s="1"/>
  <c r="AJ194" i="11" s="1"/>
  <c r="AI180" i="11"/>
  <c r="AJ177" i="11"/>
  <c r="AJ179" i="11"/>
  <c r="AJ180" i="11" l="1"/>
  <c r="AF175" i="11" l="1"/>
  <c r="AF178" i="11" s="1"/>
  <c r="AF180" i="11" s="1"/>
  <c r="AG175" i="11" l="1"/>
  <c r="AG178" i="11" s="1"/>
  <c r="AG180" i="11" s="1"/>
  <c r="AG33" i="11" l="1"/>
  <c r="AG38" i="11" s="1"/>
  <c r="AI33" i="11"/>
  <c r="AI38" i="11" s="1"/>
  <c r="AJ33" i="11"/>
  <c r="AJ38" i="11" s="1"/>
  <c r="AF33" i="11"/>
  <c r="AF38" i="11" s="1"/>
  <c r="AH33" i="11"/>
  <c r="AH38" i="11" s="1"/>
  <c r="E34" i="10" l="1"/>
  <c r="S34" i="10" s="1"/>
  <c r="AH39" i="11"/>
  <c r="AH40" i="11"/>
  <c r="E32" i="10"/>
  <c r="S32" i="10" s="1"/>
  <c r="AF40" i="11"/>
  <c r="AF39" i="11"/>
  <c r="E36" i="10"/>
  <c r="AJ39" i="11"/>
  <c r="AJ40" i="11"/>
  <c r="AI40" i="11"/>
  <c r="AI39" i="11"/>
  <c r="E35" i="10"/>
  <c r="S35" i="10" s="1"/>
  <c r="AG40" i="11"/>
  <c r="E33" i="10"/>
  <c r="S33" i="10" s="1"/>
  <c r="AG39" i="11"/>
  <c r="AJ200" i="11" l="1"/>
  <c r="AJ206" i="11" s="1"/>
  <c r="AJ50" i="11" s="1"/>
  <c r="G36" i="10" s="1"/>
  <c r="S36" i="10" s="1"/>
  <c r="F83" i="11"/>
  <c r="F85" i="11" s="1"/>
  <c r="E137" i="11"/>
  <c r="C144" i="11"/>
  <c r="E144" i="11" s="1"/>
  <c r="G144" i="11" s="1"/>
  <c r="C137" i="11"/>
  <c r="Q31" i="7"/>
  <c r="V33" i="11" l="1"/>
  <c r="V38" i="11" s="1"/>
  <c r="U33" i="11"/>
  <c r="U38" i="11" s="1"/>
  <c r="I33" i="11"/>
  <c r="I38" i="11" s="1"/>
  <c r="M33" i="11"/>
  <c r="M38" i="11" s="1"/>
  <c r="P33" i="11"/>
  <c r="P38" i="11" s="1"/>
  <c r="X33" i="11"/>
  <c r="X38" i="11" s="1"/>
  <c r="Q33" i="11"/>
  <c r="Q38" i="11" s="1"/>
  <c r="AD33" i="11"/>
  <c r="AD38" i="11" s="1"/>
  <c r="J33" i="11"/>
  <c r="J38" i="11" s="1"/>
  <c r="T33" i="11"/>
  <c r="T38" i="11" s="1"/>
  <c r="S33" i="11"/>
  <c r="S38" i="11" s="1"/>
  <c r="K33" i="11"/>
  <c r="K38" i="11" s="1"/>
  <c r="R33" i="11"/>
  <c r="R38" i="11" s="1"/>
  <c r="AE33" i="11"/>
  <c r="AE38" i="11" s="1"/>
  <c r="O33" i="11"/>
  <c r="O38" i="11" s="1"/>
  <c r="Y33" i="11"/>
  <c r="Y38" i="11" s="1"/>
  <c r="AB33" i="11"/>
  <c r="AB38" i="11" s="1"/>
  <c r="Z33" i="11"/>
  <c r="Z38" i="11" s="1"/>
  <c r="W33" i="11"/>
  <c r="W38" i="11" s="1"/>
  <c r="L33" i="11"/>
  <c r="L38" i="11" s="1"/>
  <c r="AA33" i="11"/>
  <c r="AA38" i="11" s="1"/>
  <c r="AC33" i="11"/>
  <c r="AC38" i="11" s="1"/>
  <c r="G33" i="11"/>
  <c r="G38" i="11" s="1"/>
  <c r="N33" i="11"/>
  <c r="N38" i="11" s="1"/>
  <c r="H33" i="11"/>
  <c r="H38" i="11" s="1"/>
  <c r="O89" i="11"/>
  <c r="N89" i="11"/>
  <c r="M90" i="11"/>
  <c r="F94" i="11"/>
  <c r="F96" i="11" s="1"/>
  <c r="G93" i="11" s="1"/>
  <c r="T89" i="11"/>
  <c r="J90" i="11"/>
  <c r="G89" i="11"/>
  <c r="V90" i="11"/>
  <c r="U90" i="11"/>
  <c r="P89" i="11"/>
  <c r="H90" i="11"/>
  <c r="W89" i="11"/>
  <c r="X90" i="11"/>
  <c r="K90" i="11"/>
  <c r="S89" i="11"/>
  <c r="N90" i="11"/>
  <c r="M89" i="11"/>
  <c r="H89" i="11"/>
  <c r="Q90" i="11"/>
  <c r="R90" i="11"/>
  <c r="P90" i="11"/>
  <c r="O90" i="11"/>
  <c r="Q89" i="11"/>
  <c r="G104" i="7"/>
  <c r="U89" i="11"/>
  <c r="R89" i="11"/>
  <c r="G90" i="11"/>
  <c r="J89" i="11"/>
  <c r="V89" i="11"/>
  <c r="K89" i="11"/>
  <c r="W90" i="11"/>
  <c r="L90" i="11"/>
  <c r="T90" i="11"/>
  <c r="L89" i="11"/>
  <c r="X89" i="11"/>
  <c r="I90" i="11"/>
  <c r="I89" i="11"/>
  <c r="S90" i="11"/>
  <c r="AJ137" i="11"/>
  <c r="O137" i="11"/>
  <c r="X137" i="11"/>
  <c r="W137" i="11"/>
  <c r="AI137" i="11"/>
  <c r="AH137" i="11"/>
  <c r="S137" i="11"/>
  <c r="L137" i="11"/>
  <c r="U137" i="11"/>
  <c r="M137" i="11"/>
  <c r="J137" i="11"/>
  <c r="AE137" i="11"/>
  <c r="N137" i="11"/>
  <c r="V137" i="11"/>
  <c r="H137" i="11"/>
  <c r="H139" i="11" s="1"/>
  <c r="I137" i="11"/>
  <c r="I139" i="11" s="1"/>
  <c r="AA137" i="11"/>
  <c r="G137" i="11"/>
  <c r="G139" i="11" s="1"/>
  <c r="AC137" i="11"/>
  <c r="Z137" i="11"/>
  <c r="K137" i="11"/>
  <c r="Q137" i="11"/>
  <c r="R137" i="11"/>
  <c r="Y137" i="11"/>
  <c r="T137" i="11"/>
  <c r="P137" i="11"/>
  <c r="AG137" i="11"/>
  <c r="AB137" i="11"/>
  <c r="AF137" i="11"/>
  <c r="AD137" i="11"/>
  <c r="H40" i="11" l="1"/>
  <c r="E8" i="10"/>
  <c r="H39" i="11"/>
  <c r="E7" i="10"/>
  <c r="G39" i="11"/>
  <c r="G40" i="11"/>
  <c r="D29" i="9" s="1"/>
  <c r="AA40" i="11"/>
  <c r="AA39" i="11"/>
  <c r="E27" i="10"/>
  <c r="S27" i="10" s="1"/>
  <c r="W40" i="11"/>
  <c r="W39" i="11"/>
  <c r="E23" i="10"/>
  <c r="AB40" i="11"/>
  <c r="AB39" i="11"/>
  <c r="E28" i="10"/>
  <c r="S28" i="10" s="1"/>
  <c r="O40" i="11"/>
  <c r="O39" i="11"/>
  <c r="E15" i="10"/>
  <c r="R39" i="11"/>
  <c r="R40" i="11"/>
  <c r="E18" i="10"/>
  <c r="S39" i="11"/>
  <c r="S40" i="11"/>
  <c r="E19" i="10"/>
  <c r="J39" i="11"/>
  <c r="J40" i="11"/>
  <c r="E10" i="10"/>
  <c r="Q39" i="11"/>
  <c r="Q40" i="11"/>
  <c r="E17" i="10"/>
  <c r="E16" i="10"/>
  <c r="P40" i="11"/>
  <c r="P39" i="11"/>
  <c r="E9" i="10"/>
  <c r="I39" i="11"/>
  <c r="I40" i="11"/>
  <c r="V39" i="11"/>
  <c r="V40" i="11"/>
  <c r="E22" i="10"/>
  <c r="E14" i="10"/>
  <c r="N40" i="11"/>
  <c r="N39" i="11"/>
  <c r="AC40" i="11"/>
  <c r="AC39" i="11"/>
  <c r="E29" i="10"/>
  <c r="S29" i="10" s="1"/>
  <c r="L40" i="11"/>
  <c r="L39" i="11"/>
  <c r="E12" i="10"/>
  <c r="E26" i="10"/>
  <c r="S26" i="10" s="1"/>
  <c r="Z39" i="11"/>
  <c r="Z40" i="11"/>
  <c r="Y40" i="11"/>
  <c r="Y39" i="11"/>
  <c r="E25" i="10"/>
  <c r="AE39" i="11"/>
  <c r="E31" i="10"/>
  <c r="AE40" i="11"/>
  <c r="K39" i="11"/>
  <c r="K40" i="11"/>
  <c r="E11" i="10"/>
  <c r="T39" i="11"/>
  <c r="T40" i="11"/>
  <c r="E20" i="10"/>
  <c r="E30" i="10"/>
  <c r="S30" i="10" s="1"/>
  <c r="AD39" i="11"/>
  <c r="AD40" i="11"/>
  <c r="E24" i="10"/>
  <c r="X39" i="11"/>
  <c r="X40" i="11"/>
  <c r="M39" i="11"/>
  <c r="E13" i="10"/>
  <c r="M40" i="11"/>
  <c r="U39" i="11"/>
  <c r="E21" i="10"/>
  <c r="U40" i="11"/>
  <c r="I46" i="11"/>
  <c r="I88" i="11"/>
  <c r="F9" i="10" s="1"/>
  <c r="X46" i="11"/>
  <c r="X88" i="11"/>
  <c r="F24" i="10" s="1"/>
  <c r="S24" i="10" s="1"/>
  <c r="T49" i="11"/>
  <c r="T95" i="11"/>
  <c r="W49" i="11"/>
  <c r="W95" i="11"/>
  <c r="V46" i="11"/>
  <c r="V88" i="11"/>
  <c r="F22" i="10" s="1"/>
  <c r="G95" i="11"/>
  <c r="G96" i="11" s="1"/>
  <c r="H93" i="11" s="1"/>
  <c r="G49" i="11"/>
  <c r="U88" i="11"/>
  <c r="F21" i="10" s="1"/>
  <c r="U46" i="11"/>
  <c r="Q88" i="11"/>
  <c r="F17" i="10" s="1"/>
  <c r="S17" i="10" s="1"/>
  <c r="Q46" i="11"/>
  <c r="P49" i="11"/>
  <c r="P95" i="11"/>
  <c r="Q49" i="11"/>
  <c r="Q95" i="11"/>
  <c r="M88" i="11"/>
  <c r="F13" i="10" s="1"/>
  <c r="M46" i="11"/>
  <c r="S46" i="11"/>
  <c r="S88" i="11"/>
  <c r="F19" i="10" s="1"/>
  <c r="X49" i="11"/>
  <c r="X95" i="11"/>
  <c r="H95" i="11"/>
  <c r="H49" i="11"/>
  <c r="U49" i="11"/>
  <c r="U95" i="11"/>
  <c r="G46" i="11"/>
  <c r="G88" i="11"/>
  <c r="T88" i="11"/>
  <c r="F20" i="10" s="1"/>
  <c r="T46" i="11"/>
  <c r="M95" i="11"/>
  <c r="M49" i="11"/>
  <c r="O88" i="11"/>
  <c r="F15" i="10" s="1"/>
  <c r="O46" i="11"/>
  <c r="S49" i="11"/>
  <c r="S95" i="11"/>
  <c r="I49" i="11"/>
  <c r="I95" i="11"/>
  <c r="L88" i="11"/>
  <c r="F12" i="10" s="1"/>
  <c r="L46" i="11"/>
  <c r="L49" i="11"/>
  <c r="L95" i="11"/>
  <c r="K46" i="11"/>
  <c r="K88" i="11"/>
  <c r="F11" i="10" s="1"/>
  <c r="J88" i="11"/>
  <c r="F10" i="10" s="1"/>
  <c r="J46" i="11"/>
  <c r="R46" i="11"/>
  <c r="R88" i="11"/>
  <c r="F18" i="10" s="1"/>
  <c r="O95" i="11"/>
  <c r="O49" i="11"/>
  <c r="R95" i="11"/>
  <c r="R49" i="11"/>
  <c r="H88" i="11"/>
  <c r="F8" i="10" s="1"/>
  <c r="H46" i="11"/>
  <c r="N95" i="11"/>
  <c r="N49" i="11"/>
  <c r="K95" i="11"/>
  <c r="K49" i="11"/>
  <c r="W46" i="11"/>
  <c r="W88" i="11"/>
  <c r="F23" i="10" s="1"/>
  <c r="P88" i="11"/>
  <c r="F16" i="10" s="1"/>
  <c r="P46" i="11"/>
  <c r="V95" i="11"/>
  <c r="V49" i="11"/>
  <c r="J49" i="11"/>
  <c r="J95" i="11"/>
  <c r="N88" i="11"/>
  <c r="F14" i="10" s="1"/>
  <c r="N46" i="11"/>
  <c r="S14" i="10" l="1"/>
  <c r="S12" i="10"/>
  <c r="S8" i="10"/>
  <c r="S15" i="10"/>
  <c r="S18" i="10"/>
  <c r="S21" i="10"/>
  <c r="S23" i="10"/>
  <c r="S11" i="10"/>
  <c r="S19" i="10"/>
  <c r="S9" i="10"/>
  <c r="S16" i="10"/>
  <c r="S10" i="10"/>
  <c r="S20" i="10"/>
  <c r="S13" i="10"/>
  <c r="G100" i="7"/>
  <c r="F200" i="11" s="1"/>
  <c r="AE200" i="11" s="1"/>
  <c r="AE206" i="11" s="1"/>
  <c r="AE50" i="11" s="1"/>
  <c r="G31" i="10" s="1"/>
  <c r="S31" i="10" s="1"/>
  <c r="G97" i="7"/>
  <c r="F7" i="10"/>
  <c r="S7" i="10" s="1"/>
  <c r="H96" i="11"/>
  <c r="I93" i="11" s="1"/>
  <c r="I96" i="11" s="1"/>
  <c r="J93" i="11" s="1"/>
  <c r="J96" i="11" s="1"/>
  <c r="K93" i="11" s="1"/>
  <c r="K96" i="11" s="1"/>
  <c r="L93" i="11" s="1"/>
  <c r="L96" i="11" s="1"/>
  <c r="M93" i="11" s="1"/>
  <c r="M96" i="11" s="1"/>
  <c r="N93" i="11" s="1"/>
  <c r="N96" i="11" s="1"/>
  <c r="O93" i="11" s="1"/>
  <c r="O96" i="11" s="1"/>
  <c r="P93" i="11" s="1"/>
  <c r="P96" i="11" s="1"/>
  <c r="Q93" i="11" s="1"/>
  <c r="Q96" i="11" s="1"/>
  <c r="R93" i="11" s="1"/>
  <c r="R96" i="11" s="1"/>
  <c r="S93" i="11" s="1"/>
  <c r="S96" i="11" s="1"/>
  <c r="T93" i="11" s="1"/>
  <c r="T96" i="11" s="1"/>
  <c r="U93" i="11" s="1"/>
  <c r="U96" i="11" s="1"/>
  <c r="V93" i="11" s="1"/>
  <c r="V96" i="11" s="1"/>
  <c r="W93" i="11" s="1"/>
  <c r="W96" i="11" s="1"/>
  <c r="X93" i="11" s="1"/>
  <c r="X96" i="11" s="1"/>
  <c r="Y93" i="11" s="1"/>
  <c r="Y96" i="11" s="1"/>
  <c r="Z93" i="11" s="1"/>
  <c r="Z96" i="11" s="1"/>
  <c r="AA93" i="11" s="1"/>
  <c r="AA96" i="11" s="1"/>
  <c r="AB93" i="11" s="1"/>
  <c r="AB96" i="11" s="1"/>
  <c r="AC93" i="11" s="1"/>
  <c r="AC96" i="11" s="1"/>
  <c r="AD93" i="11" s="1"/>
  <c r="AD96" i="11" s="1"/>
  <c r="AE93" i="11" s="1"/>
  <c r="AE96" i="11" s="1"/>
  <c r="AF93" i="11" s="1"/>
  <c r="AF96" i="11" s="1"/>
  <c r="AG93" i="11" s="1"/>
  <c r="AG96" i="11" s="1"/>
  <c r="AH93" i="11" s="1"/>
  <c r="AH96" i="11" s="1"/>
  <c r="AI93" i="11" s="1"/>
  <c r="AI96" i="11" s="1"/>
  <c r="AJ93" i="11" s="1"/>
  <c r="AJ96" i="11" s="1"/>
  <c r="G68" i="7" l="1"/>
  <c r="G70" i="7" s="1"/>
  <c r="F199" i="11"/>
  <c r="V199" i="11" s="1"/>
  <c r="V206" i="11" s="1"/>
  <c r="V50" i="11" s="1"/>
  <c r="G22" i="10" s="1"/>
  <c r="S22" i="10" s="1"/>
  <c r="C109" i="12"/>
  <c r="G71" i="7" l="1"/>
  <c r="C103" i="11"/>
  <c r="C104" i="11"/>
  <c r="C106" i="11"/>
  <c r="C102" i="11"/>
  <c r="C110" i="12"/>
  <c r="C120" i="12" s="1"/>
  <c r="C121" i="12" s="1"/>
  <c r="I120" i="12"/>
  <c r="I121" i="12" s="1"/>
  <c r="F203" i="11"/>
  <c r="G198" i="11" s="1"/>
  <c r="Y199" i="11"/>
  <c r="Y206" i="11" s="1"/>
  <c r="Y50" i="11" s="1"/>
  <c r="G25" i="10" s="1"/>
  <c r="S25" i="10" s="1"/>
  <c r="D110" i="12" l="1"/>
  <c r="D120" i="12" s="1"/>
  <c r="D121" i="12" s="1"/>
  <c r="Q59" i="7"/>
  <c r="G169" i="11" s="1"/>
  <c r="G172" i="11" s="1"/>
  <c r="G68" i="11" s="1"/>
  <c r="C108" i="11"/>
  <c r="D104" i="11" s="1"/>
  <c r="G75" i="7"/>
  <c r="G72" i="7"/>
  <c r="G203" i="11"/>
  <c r="H198" i="11" s="1"/>
  <c r="D106" i="11" l="1"/>
  <c r="C110" i="11"/>
  <c r="D103" i="11"/>
  <c r="D26" i="9"/>
  <c r="D27" i="9" s="1"/>
  <c r="G76" i="7"/>
  <c r="F55" i="11"/>
  <c r="C109" i="11"/>
  <c r="D102" i="11"/>
  <c r="G205" i="11"/>
  <c r="G22" i="11" s="1"/>
  <c r="G23" i="11" s="1"/>
  <c r="D7" i="10" s="1"/>
  <c r="H7" i="10" s="1"/>
  <c r="H203" i="11"/>
  <c r="I198" i="11" s="1"/>
  <c r="E106" i="11" l="1"/>
  <c r="E118" i="11" s="1"/>
  <c r="E104" i="11"/>
  <c r="V116" i="11" s="1"/>
  <c r="E105" i="11"/>
  <c r="G117" i="11" s="1"/>
  <c r="E103" i="11"/>
  <c r="G115" i="11" s="1"/>
  <c r="D108" i="11"/>
  <c r="D109" i="11" s="1"/>
  <c r="E102" i="11"/>
  <c r="X114" i="11" s="1"/>
  <c r="F57" i="11"/>
  <c r="F70" i="11" s="1"/>
  <c r="M6" i="10" s="1"/>
  <c r="N6" i="10" s="1"/>
  <c r="G105" i="7"/>
  <c r="G107" i="7" s="1"/>
  <c r="G42" i="11"/>
  <c r="G44" i="11" s="1"/>
  <c r="P7" i="10" s="1"/>
  <c r="H205" i="11"/>
  <c r="H22" i="11" s="1"/>
  <c r="H23" i="11" s="1"/>
  <c r="H42" i="11" s="1"/>
  <c r="I203" i="11"/>
  <c r="J198" i="11" s="1"/>
  <c r="AI115" i="11" l="1"/>
  <c r="N116" i="11"/>
  <c r="I115" i="11"/>
  <c r="P116" i="11"/>
  <c r="AI116" i="11"/>
  <c r="AG115" i="11"/>
  <c r="AB116" i="11"/>
  <c r="W116" i="11"/>
  <c r="AJ116" i="11"/>
  <c r="Y115" i="11"/>
  <c r="AH115" i="11"/>
  <c r="Z115" i="11"/>
  <c r="AC115" i="11"/>
  <c r="I116" i="11"/>
  <c r="Q116" i="11"/>
  <c r="AE116" i="11"/>
  <c r="L116" i="11"/>
  <c r="O116" i="11"/>
  <c r="K116" i="11"/>
  <c r="J114" i="11"/>
  <c r="Z116" i="11"/>
  <c r="M116" i="11"/>
  <c r="R116" i="11"/>
  <c r="AB114" i="11"/>
  <c r="I114" i="11"/>
  <c r="V117" i="11"/>
  <c r="M117" i="11"/>
  <c r="O117" i="11"/>
  <c r="N117" i="11"/>
  <c r="AF117" i="11"/>
  <c r="AI117" i="11"/>
  <c r="W117" i="11"/>
  <c r="G47" i="11"/>
  <c r="G52" i="11" s="1"/>
  <c r="G56" i="11" s="1"/>
  <c r="G57" i="11" s="1"/>
  <c r="R117" i="11"/>
  <c r="AC117" i="11"/>
  <c r="Q117" i="11"/>
  <c r="Z117" i="11"/>
  <c r="AH117" i="11"/>
  <c r="Y117" i="11"/>
  <c r="J117" i="11"/>
  <c r="P117" i="11"/>
  <c r="AG117" i="11"/>
  <c r="L117" i="11"/>
  <c r="AD117" i="11"/>
  <c r="AJ117" i="11"/>
  <c r="X117" i="11"/>
  <c r="AB117" i="11"/>
  <c r="AE117" i="11"/>
  <c r="T117" i="11"/>
  <c r="AA117" i="11"/>
  <c r="I117" i="11"/>
  <c r="U117" i="11"/>
  <c r="H117" i="11"/>
  <c r="S117" i="11"/>
  <c r="K117" i="11"/>
  <c r="K115" i="11"/>
  <c r="AB115" i="11"/>
  <c r="AA115" i="11"/>
  <c r="AF115" i="11"/>
  <c r="Q115" i="11"/>
  <c r="M115" i="11"/>
  <c r="AD115" i="11"/>
  <c r="X115" i="11"/>
  <c r="X116" i="11"/>
  <c r="AG116" i="11"/>
  <c r="S116" i="11"/>
  <c r="AC116" i="11"/>
  <c r="G116" i="11"/>
  <c r="H116" i="11"/>
  <c r="AA116" i="11"/>
  <c r="AH116" i="11"/>
  <c r="AD116" i="11"/>
  <c r="J116" i="11"/>
  <c r="AF116" i="11"/>
  <c r="T116" i="11"/>
  <c r="Y116" i="11"/>
  <c r="U116" i="11"/>
  <c r="AG114" i="11"/>
  <c r="AA114" i="11"/>
  <c r="Y114" i="11"/>
  <c r="Q114" i="11"/>
  <c r="R115" i="11"/>
  <c r="T115" i="11"/>
  <c r="W115" i="11"/>
  <c r="H115" i="11"/>
  <c r="N115" i="11"/>
  <c r="S115" i="11"/>
  <c r="V115" i="11"/>
  <c r="AE115" i="11"/>
  <c r="P115" i="11"/>
  <c r="L115" i="11"/>
  <c r="U115" i="11"/>
  <c r="AJ115" i="11"/>
  <c r="O115" i="11"/>
  <c r="J115" i="11"/>
  <c r="K114" i="11"/>
  <c r="G114" i="11"/>
  <c r="AE114" i="11"/>
  <c r="W114" i="11"/>
  <c r="U114" i="11"/>
  <c r="AJ114" i="11"/>
  <c r="AJ129" i="11" s="1"/>
  <c r="AJ131" i="11" s="1"/>
  <c r="H114" i="11"/>
  <c r="AH114" i="11"/>
  <c r="E108" i="11"/>
  <c r="E109" i="11" s="1"/>
  <c r="AF114" i="11"/>
  <c r="AC114" i="11"/>
  <c r="O114" i="11"/>
  <c r="R114" i="11"/>
  <c r="P114" i="11"/>
  <c r="AD114" i="11"/>
  <c r="Z114" i="11"/>
  <c r="M114" i="11"/>
  <c r="AI114" i="11"/>
  <c r="AI129" i="11" s="1"/>
  <c r="AI131" i="11" s="1"/>
  <c r="S114" i="11"/>
  <c r="V114" i="11"/>
  <c r="N114" i="11"/>
  <c r="L114" i="11"/>
  <c r="T114" i="11"/>
  <c r="F105" i="7"/>
  <c r="F106" i="7"/>
  <c r="F104" i="7"/>
  <c r="D8" i="10"/>
  <c r="H8" i="10" s="1"/>
  <c r="I205" i="11"/>
  <c r="I22" i="11" s="1"/>
  <c r="I23" i="11" s="1"/>
  <c r="H44" i="11"/>
  <c r="P8" i="10" s="1"/>
  <c r="H47" i="11"/>
  <c r="H52" i="11" s="1"/>
  <c r="H56" i="11" s="1"/>
  <c r="H57" i="11" s="1"/>
  <c r="J203" i="11"/>
  <c r="K198" i="11" s="1"/>
  <c r="AD129" i="11" l="1"/>
  <c r="AD131" i="11" s="1"/>
  <c r="L129" i="11"/>
  <c r="L131" i="11" s="1"/>
  <c r="G91" i="7"/>
  <c r="N129" i="11"/>
  <c r="N131" i="11" s="1"/>
  <c r="R129" i="11"/>
  <c r="R131" i="11" s="1"/>
  <c r="I129" i="11"/>
  <c r="I60" i="11" s="1"/>
  <c r="Y129" i="11"/>
  <c r="Y131" i="11" s="1"/>
  <c r="AG129" i="11"/>
  <c r="AG131" i="11" s="1"/>
  <c r="J129" i="11"/>
  <c r="J131" i="11" s="1"/>
  <c r="AB129" i="11"/>
  <c r="AB131" i="11" s="1"/>
  <c r="E117" i="11"/>
  <c r="Z129" i="11"/>
  <c r="Z131" i="11" s="1"/>
  <c r="O129" i="11"/>
  <c r="O131" i="11" s="1"/>
  <c r="AH129" i="11"/>
  <c r="AH131" i="11" s="1"/>
  <c r="W129" i="11"/>
  <c r="W131" i="11" s="1"/>
  <c r="Q129" i="11"/>
  <c r="Q131" i="11" s="1"/>
  <c r="AA129" i="11"/>
  <c r="AA131" i="11" s="1"/>
  <c r="M129" i="11"/>
  <c r="M131" i="11" s="1"/>
  <c r="H129" i="11"/>
  <c r="H141" i="11" s="1"/>
  <c r="H138" i="11" s="1"/>
  <c r="U129" i="11"/>
  <c r="U131" i="11" s="1"/>
  <c r="AE129" i="11"/>
  <c r="AE131" i="11" s="1"/>
  <c r="K129" i="11"/>
  <c r="K131" i="11" s="1"/>
  <c r="P129" i="11"/>
  <c r="P131" i="11" s="1"/>
  <c r="X129" i="11"/>
  <c r="X131" i="11" s="1"/>
  <c r="E114" i="11"/>
  <c r="V129" i="11"/>
  <c r="V131" i="11" s="1"/>
  <c r="AF129" i="11"/>
  <c r="AF131" i="11" s="1"/>
  <c r="G129" i="11"/>
  <c r="G141" i="11" s="1"/>
  <c r="G138" i="11" s="1"/>
  <c r="E115" i="11"/>
  <c r="S129" i="11"/>
  <c r="S131" i="11" s="1"/>
  <c r="T129" i="11"/>
  <c r="T131" i="11" s="1"/>
  <c r="E116" i="11"/>
  <c r="AC129" i="11"/>
  <c r="AC131" i="11" s="1"/>
  <c r="I42" i="11"/>
  <c r="D9" i="10"/>
  <c r="J205" i="11"/>
  <c r="J22" i="11" s="1"/>
  <c r="J23" i="11" s="1"/>
  <c r="K203" i="11"/>
  <c r="L198" i="11" s="1"/>
  <c r="G58" i="11"/>
  <c r="H58" i="11"/>
  <c r="I131" i="11" l="1"/>
  <c r="G131" i="11"/>
  <c r="H60" i="11"/>
  <c r="H61" i="11" s="1"/>
  <c r="H63" i="11" s="1"/>
  <c r="H131" i="11"/>
  <c r="E119" i="11"/>
  <c r="F119" i="11" s="1"/>
  <c r="G60" i="11"/>
  <c r="G61" i="11" s="1"/>
  <c r="G63" i="11" s="1"/>
  <c r="D10" i="10"/>
  <c r="H10" i="10" s="1"/>
  <c r="J42" i="11"/>
  <c r="H9" i="10"/>
  <c r="K205" i="11"/>
  <c r="K22" i="11" s="1"/>
  <c r="K23" i="11" s="1"/>
  <c r="L203" i="11"/>
  <c r="M198" i="11" s="1"/>
  <c r="I44" i="11"/>
  <c r="P9" i="10" s="1"/>
  <c r="I47" i="11"/>
  <c r="I61" i="11" s="1"/>
  <c r="H149" i="11" l="1"/>
  <c r="H153" i="11" s="1"/>
  <c r="H64" i="11"/>
  <c r="H67" i="11" s="1"/>
  <c r="L8" i="10" s="1"/>
  <c r="G64" i="11"/>
  <c r="G67" i="11" s="1"/>
  <c r="L7" i="10" s="1"/>
  <c r="G149" i="11"/>
  <c r="G161" i="11" s="1"/>
  <c r="I8" i="10"/>
  <c r="I7" i="10"/>
  <c r="K42" i="11"/>
  <c r="D11" i="10"/>
  <c r="L205" i="11"/>
  <c r="L22" i="11" s="1"/>
  <c r="L23" i="11" s="1"/>
  <c r="I63" i="11"/>
  <c r="I64" i="11"/>
  <c r="I149" i="11"/>
  <c r="H161" i="11"/>
  <c r="I141" i="11"/>
  <c r="I138" i="11" s="1"/>
  <c r="I52" i="11"/>
  <c r="I56" i="11" s="1"/>
  <c r="I57" i="11" s="1"/>
  <c r="M203" i="11"/>
  <c r="N198" i="11" s="1"/>
  <c r="J47" i="11"/>
  <c r="J44" i="11"/>
  <c r="P10" i="10" s="1"/>
  <c r="J7" i="10" l="1"/>
  <c r="J8" i="10"/>
  <c r="G154" i="11"/>
  <c r="G153" i="11"/>
  <c r="G162" i="11"/>
  <c r="G165" i="11" s="1"/>
  <c r="H66" i="11"/>
  <c r="K8" i="10" s="1"/>
  <c r="J52" i="11"/>
  <c r="J56" i="11" s="1"/>
  <c r="J57" i="11" s="1"/>
  <c r="J58" i="11" s="1"/>
  <c r="J141" i="11"/>
  <c r="J138" i="11" s="1"/>
  <c r="J139" i="11" s="1"/>
  <c r="J60" i="11" s="1"/>
  <c r="J61" i="11" s="1"/>
  <c r="I58" i="11"/>
  <c r="I161" i="11"/>
  <c r="I153" i="11"/>
  <c r="I9" i="10"/>
  <c r="D12" i="10"/>
  <c r="H12" i="10" s="1"/>
  <c r="L42" i="11"/>
  <c r="K44" i="11"/>
  <c r="P11" i="10" s="1"/>
  <c r="K47" i="11"/>
  <c r="M205" i="11"/>
  <c r="M22" i="11" s="1"/>
  <c r="M23" i="11" s="1"/>
  <c r="N203" i="11"/>
  <c r="O198" i="11" s="1"/>
  <c r="I67" i="11"/>
  <c r="L9" i="10" s="1"/>
  <c r="J9" i="10"/>
  <c r="H11" i="10"/>
  <c r="G66" i="11"/>
  <c r="G163" i="11" l="1"/>
  <c r="H160" i="11" s="1"/>
  <c r="G155" i="11"/>
  <c r="H70" i="11"/>
  <c r="G157" i="11"/>
  <c r="K7" i="10"/>
  <c r="G70" i="11"/>
  <c r="K52" i="11"/>
  <c r="K56" i="11" s="1"/>
  <c r="K57" i="11" s="1"/>
  <c r="K141" i="11"/>
  <c r="K138" i="11" s="1"/>
  <c r="K139" i="11" s="1"/>
  <c r="K60" i="11" s="1"/>
  <c r="K61" i="11" s="1"/>
  <c r="L44" i="11"/>
  <c r="P12" i="10" s="1"/>
  <c r="L47" i="11"/>
  <c r="N205" i="11"/>
  <c r="N22" i="11" s="1"/>
  <c r="N23" i="11" s="1"/>
  <c r="I66" i="11"/>
  <c r="R8" i="10"/>
  <c r="M8" i="10"/>
  <c r="O203" i="11"/>
  <c r="P198" i="11" s="1"/>
  <c r="M42" i="11"/>
  <c r="D13" i="10"/>
  <c r="H13" i="10" s="1"/>
  <c r="J149" i="11"/>
  <c r="J64" i="11"/>
  <c r="J63" i="11"/>
  <c r="H152" i="11" l="1"/>
  <c r="H162" i="11"/>
  <c r="H165" i="11" s="1"/>
  <c r="H154" i="11"/>
  <c r="H157" i="11" s="1"/>
  <c r="J67" i="11"/>
  <c r="L10" i="10" s="1"/>
  <c r="J10" i="10"/>
  <c r="K9" i="10"/>
  <c r="I70" i="11"/>
  <c r="N42" i="11"/>
  <c r="D14" i="10"/>
  <c r="K58" i="11"/>
  <c r="R7" i="10"/>
  <c r="M7" i="10"/>
  <c r="N7" i="10" s="1"/>
  <c r="N8" i="10" s="1"/>
  <c r="O205" i="11"/>
  <c r="O22" i="11" s="1"/>
  <c r="O23" i="11" s="1"/>
  <c r="I10" i="10"/>
  <c r="J161" i="11"/>
  <c r="J153" i="11"/>
  <c r="M47" i="11"/>
  <c r="M44" i="11"/>
  <c r="P13" i="10" s="1"/>
  <c r="P203" i="11"/>
  <c r="Q198" i="11" s="1"/>
  <c r="L141" i="11"/>
  <c r="L138" i="11" s="1"/>
  <c r="L139" i="11" s="1"/>
  <c r="L60" i="11" s="1"/>
  <c r="L61" i="11" s="1"/>
  <c r="L52" i="11"/>
  <c r="L56" i="11" s="1"/>
  <c r="L57" i="11" s="1"/>
  <c r="K64" i="11"/>
  <c r="K63" i="11"/>
  <c r="K149" i="11"/>
  <c r="G71" i="11"/>
  <c r="O7" i="10" s="1"/>
  <c r="H71" i="11"/>
  <c r="O8" i="10" s="1"/>
  <c r="I71" i="11"/>
  <c r="O9" i="10" s="1"/>
  <c r="H163" i="11" l="1"/>
  <c r="I160" i="11" s="1"/>
  <c r="H155" i="11"/>
  <c r="J66" i="11"/>
  <c r="K10" i="10" s="1"/>
  <c r="P205" i="11"/>
  <c r="P22" i="11" s="1"/>
  <c r="P23" i="11" s="1"/>
  <c r="D16" i="10" s="1"/>
  <c r="H16" i="10" s="1"/>
  <c r="I11" i="10"/>
  <c r="D15" i="10"/>
  <c r="O42" i="11"/>
  <c r="H14" i="10"/>
  <c r="K161" i="11"/>
  <c r="K153" i="11"/>
  <c r="J11" i="10"/>
  <c r="K67" i="11"/>
  <c r="L11" i="10" s="1"/>
  <c r="L64" i="11"/>
  <c r="L63" i="11"/>
  <c r="L149" i="11"/>
  <c r="Q203" i="11"/>
  <c r="R198" i="11" s="1"/>
  <c r="M52" i="11"/>
  <c r="M56" i="11" s="1"/>
  <c r="M57" i="11" s="1"/>
  <c r="M58" i="11" s="1"/>
  <c r="M141" i="11"/>
  <c r="M138" i="11" s="1"/>
  <c r="M139" i="11" s="1"/>
  <c r="M60" i="11" s="1"/>
  <c r="M61" i="11" s="1"/>
  <c r="N47" i="11"/>
  <c r="N44" i="11"/>
  <c r="P14" i="10" s="1"/>
  <c r="R9" i="10"/>
  <c r="M9" i="10"/>
  <c r="N9" i="10" s="1"/>
  <c r="L58" i="11"/>
  <c r="I152" i="11" l="1"/>
  <c r="I154" i="11"/>
  <c r="I157" i="11" s="1"/>
  <c r="I162" i="11"/>
  <c r="J70" i="11"/>
  <c r="J71" i="11" s="1"/>
  <c r="O10" i="10" s="1"/>
  <c r="P42" i="11"/>
  <c r="P47" i="11" s="1"/>
  <c r="M63" i="11"/>
  <c r="M149" i="11"/>
  <c r="M64" i="11"/>
  <c r="L161" i="11"/>
  <c r="L153" i="11"/>
  <c r="J12" i="10"/>
  <c r="L67" i="11"/>
  <c r="L12" i="10" s="1"/>
  <c r="H15" i="10"/>
  <c r="R10" i="10"/>
  <c r="M10" i="10"/>
  <c r="N10" i="10" s="1"/>
  <c r="Q205" i="11"/>
  <c r="Q22" i="11" s="1"/>
  <c r="Q23" i="11" s="1"/>
  <c r="N52" i="11"/>
  <c r="N56" i="11" s="1"/>
  <c r="N57" i="11" s="1"/>
  <c r="N141" i="11"/>
  <c r="N138" i="11" s="1"/>
  <c r="N139" i="11" s="1"/>
  <c r="N60" i="11" s="1"/>
  <c r="N61" i="11" s="1"/>
  <c r="R203" i="11"/>
  <c r="S198" i="11" s="1"/>
  <c r="I12" i="10"/>
  <c r="O44" i="11"/>
  <c r="P15" i="10" s="1"/>
  <c r="O47" i="11"/>
  <c r="K66" i="11"/>
  <c r="P44" i="11" l="1"/>
  <c r="P16" i="10" s="1"/>
  <c r="I155" i="11"/>
  <c r="I163" i="11"/>
  <c r="J160" i="11" s="1"/>
  <c r="I165" i="11"/>
  <c r="L66" i="11"/>
  <c r="K12" i="10" s="1"/>
  <c r="R205" i="11"/>
  <c r="R22" i="11" s="1"/>
  <c r="R23" i="11" s="1"/>
  <c r="D18" i="10" s="1"/>
  <c r="H18" i="10" s="1"/>
  <c r="K70" i="11"/>
  <c r="K11" i="10"/>
  <c r="O52" i="11"/>
  <c r="O56" i="11" s="1"/>
  <c r="O57" i="11" s="1"/>
  <c r="O58" i="11" s="1"/>
  <c r="O141" i="11"/>
  <c r="O138" i="11" s="1"/>
  <c r="O139" i="11" s="1"/>
  <c r="O60" i="11" s="1"/>
  <c r="O61" i="11" s="1"/>
  <c r="N63" i="11"/>
  <c r="N64" i="11"/>
  <c r="N149" i="11"/>
  <c r="D17" i="10"/>
  <c r="Q42" i="11"/>
  <c r="M161" i="11"/>
  <c r="M153" i="11"/>
  <c r="S203" i="11"/>
  <c r="T198" i="11" s="1"/>
  <c r="N58" i="11"/>
  <c r="P141" i="11"/>
  <c r="P138" i="11" s="1"/>
  <c r="P139" i="11" s="1"/>
  <c r="P60" i="11" s="1"/>
  <c r="P61" i="11" s="1"/>
  <c r="P52" i="11"/>
  <c r="P56" i="11" s="1"/>
  <c r="P57" i="11" s="1"/>
  <c r="J13" i="10"/>
  <c r="M67" i="11"/>
  <c r="L13" i="10" s="1"/>
  <c r="I13" i="10"/>
  <c r="J152" i="11" l="1"/>
  <c r="J162" i="11"/>
  <c r="J165" i="11" s="1"/>
  <c r="J154" i="11"/>
  <c r="J157" i="11" s="1"/>
  <c r="L70" i="11"/>
  <c r="L71" i="11" s="1"/>
  <c r="O12" i="10" s="1"/>
  <c r="R42" i="11"/>
  <c r="R44" i="11" s="1"/>
  <c r="P18" i="10" s="1"/>
  <c r="M66" i="11"/>
  <c r="K13" i="10" s="1"/>
  <c r="P58" i="11"/>
  <c r="H17" i="10"/>
  <c r="N67" i="11"/>
  <c r="L14" i="10" s="1"/>
  <c r="J14" i="10"/>
  <c r="O149" i="11"/>
  <c r="O63" i="11"/>
  <c r="O64" i="11"/>
  <c r="M11" i="10"/>
  <c r="N11" i="10" s="1"/>
  <c r="R11" i="10"/>
  <c r="S205" i="11"/>
  <c r="S22" i="11" s="1"/>
  <c r="S23" i="11" s="1"/>
  <c r="P149" i="11"/>
  <c r="P63" i="11"/>
  <c r="P64" i="11"/>
  <c r="T203" i="11"/>
  <c r="U198" i="11" s="1"/>
  <c r="Q47" i="11"/>
  <c r="Q44" i="11"/>
  <c r="N153" i="11"/>
  <c r="N161" i="11"/>
  <c r="I14" i="10"/>
  <c r="M12" i="10"/>
  <c r="R12" i="10"/>
  <c r="K71" i="11"/>
  <c r="O11" i="10" s="1"/>
  <c r="J163" i="11" l="1"/>
  <c r="K160" i="11" s="1"/>
  <c r="R47" i="11"/>
  <c r="R52" i="11" s="1"/>
  <c r="R56" i="11" s="1"/>
  <c r="R57" i="11" s="1"/>
  <c r="J155" i="11"/>
  <c r="N66" i="11"/>
  <c r="N70" i="11" s="1"/>
  <c r="N12" i="10"/>
  <c r="M70" i="11"/>
  <c r="M71" i="11" s="1"/>
  <c r="O13" i="10" s="1"/>
  <c r="Q141" i="11"/>
  <c r="Q138" i="11" s="1"/>
  <c r="Q139" i="11" s="1"/>
  <c r="Q60" i="11" s="1"/>
  <c r="Q61" i="11" s="1"/>
  <c r="Q52" i="11"/>
  <c r="Q56" i="11" s="1"/>
  <c r="Q57" i="11" s="1"/>
  <c r="U203" i="11"/>
  <c r="V198" i="11" s="1"/>
  <c r="I16" i="10"/>
  <c r="J15" i="10"/>
  <c r="O67" i="11"/>
  <c r="L15" i="10" s="1"/>
  <c r="O153" i="11"/>
  <c r="O161" i="11"/>
  <c r="R13" i="10"/>
  <c r="M13" i="10"/>
  <c r="P17" i="10"/>
  <c r="P67" i="11"/>
  <c r="L16" i="10" s="1"/>
  <c r="J16" i="10"/>
  <c r="P161" i="11"/>
  <c r="P153" i="11"/>
  <c r="S42" i="11"/>
  <c r="D19" i="10"/>
  <c r="H19" i="10" s="1"/>
  <c r="I15" i="10"/>
  <c r="T205" i="11"/>
  <c r="T22" i="11" s="1"/>
  <c r="T23" i="11" s="1"/>
  <c r="R141" i="11" l="1"/>
  <c r="R138" i="11" s="1"/>
  <c r="R139" i="11" s="1"/>
  <c r="R60" i="11" s="1"/>
  <c r="R61" i="11" s="1"/>
  <c r="R63" i="11" s="1"/>
  <c r="K14" i="10"/>
  <c r="R14" i="10" s="1"/>
  <c r="K154" i="11"/>
  <c r="K157" i="11" s="1"/>
  <c r="K152" i="11"/>
  <c r="K162" i="11"/>
  <c r="N13" i="10"/>
  <c r="O66" i="11"/>
  <c r="O70" i="11" s="1"/>
  <c r="O71" i="11" s="1"/>
  <c r="O15" i="10" s="1"/>
  <c r="U205" i="11"/>
  <c r="U22" i="11" s="1"/>
  <c r="U23" i="11" s="1"/>
  <c r="U42" i="11" s="1"/>
  <c r="V203" i="11"/>
  <c r="W198" i="11" s="1"/>
  <c r="Q64" i="11"/>
  <c r="Q63" i="11"/>
  <c r="Q149" i="11"/>
  <c r="R58" i="11"/>
  <c r="D20" i="10"/>
  <c r="T42" i="11"/>
  <c r="S47" i="11"/>
  <c r="S44" i="11"/>
  <c r="Q58" i="11"/>
  <c r="N71" i="11"/>
  <c r="O14" i="10" s="1"/>
  <c r="P66" i="11"/>
  <c r="R64" i="11" l="1"/>
  <c r="J18" i="10" s="1"/>
  <c r="R149" i="11"/>
  <c r="R161" i="11" s="1"/>
  <c r="M14" i="10"/>
  <c r="N14" i="10" s="1"/>
  <c r="K155" i="11"/>
  <c r="K165" i="11"/>
  <c r="K163" i="11"/>
  <c r="L160" i="11" s="1"/>
  <c r="K15" i="10"/>
  <c r="M15" i="10" s="1"/>
  <c r="D21" i="10"/>
  <c r="H21" i="10" s="1"/>
  <c r="K16" i="10"/>
  <c r="P70" i="11"/>
  <c r="I18" i="10"/>
  <c r="P19" i="10"/>
  <c r="T47" i="11"/>
  <c r="T44" i="11"/>
  <c r="I17" i="10"/>
  <c r="V205" i="11"/>
  <c r="V22" i="11" s="1"/>
  <c r="V23" i="11" s="1"/>
  <c r="U44" i="11"/>
  <c r="U47" i="11"/>
  <c r="S141" i="11"/>
  <c r="S138" i="11" s="1"/>
  <c r="S139" i="11" s="1"/>
  <c r="S60" i="11" s="1"/>
  <c r="S61" i="11" s="1"/>
  <c r="S52" i="11"/>
  <c r="S56" i="11" s="1"/>
  <c r="S57" i="11" s="1"/>
  <c r="H20" i="10"/>
  <c r="Q161" i="11"/>
  <c r="Q153" i="11"/>
  <c r="J17" i="10"/>
  <c r="Q67" i="11"/>
  <c r="L17" i="10" s="1"/>
  <c r="W203" i="11"/>
  <c r="X198" i="11" s="1"/>
  <c r="R67" i="11" l="1"/>
  <c r="L18" i="10" s="1"/>
  <c r="R153" i="11"/>
  <c r="R15" i="10"/>
  <c r="N15" i="10"/>
  <c r="L162" i="11"/>
  <c r="L165" i="11" s="1"/>
  <c r="L154" i="11"/>
  <c r="L157" i="11" s="1"/>
  <c r="L152" i="11"/>
  <c r="S58" i="11"/>
  <c r="U52" i="11"/>
  <c r="U56" i="11" s="1"/>
  <c r="U57" i="11" s="1"/>
  <c r="U141" i="11"/>
  <c r="U138" i="11" s="1"/>
  <c r="U139" i="11" s="1"/>
  <c r="U60" i="11" s="1"/>
  <c r="U61" i="11" s="1"/>
  <c r="P20" i="10"/>
  <c r="R16" i="10"/>
  <c r="M16" i="10"/>
  <c r="W205" i="11"/>
  <c r="W22" i="11" s="1"/>
  <c r="W23" i="11" s="1"/>
  <c r="Q66" i="11"/>
  <c r="X203" i="11"/>
  <c r="Y198" i="11" s="1"/>
  <c r="S149" i="11"/>
  <c r="S63" i="11"/>
  <c r="S64" i="11"/>
  <c r="P21" i="10"/>
  <c r="V42" i="11"/>
  <c r="D22" i="10"/>
  <c r="H22" i="10" s="1"/>
  <c r="T141" i="11"/>
  <c r="T138" i="11" s="1"/>
  <c r="T139" i="11" s="1"/>
  <c r="T60" i="11" s="1"/>
  <c r="T61" i="11" s="1"/>
  <c r="T52" i="11"/>
  <c r="T56" i="11" s="1"/>
  <c r="T57" i="11" s="1"/>
  <c r="P71" i="11"/>
  <c r="O16" i="10" s="1"/>
  <c r="R66" i="11" l="1"/>
  <c r="K18" i="10" s="1"/>
  <c r="R18" i="10" s="1"/>
  <c r="N16" i="10"/>
  <c r="L163" i="11"/>
  <c r="M160" i="11" s="1"/>
  <c r="L155" i="11"/>
  <c r="X205" i="11"/>
  <c r="X22" i="11" s="1"/>
  <c r="X23" i="11" s="1"/>
  <c r="D24" i="10" s="1"/>
  <c r="H24" i="10" s="1"/>
  <c r="T58" i="11"/>
  <c r="S67" i="11"/>
  <c r="L19" i="10" s="1"/>
  <c r="J19" i="10"/>
  <c r="S153" i="11"/>
  <c r="S161" i="11"/>
  <c r="Y203" i="11"/>
  <c r="Z198" i="11" s="1"/>
  <c r="Q70" i="11"/>
  <c r="K17" i="10"/>
  <c r="T63" i="11"/>
  <c r="T149" i="11"/>
  <c r="T64" i="11"/>
  <c r="V47" i="11"/>
  <c r="V44" i="11"/>
  <c r="I19" i="10"/>
  <c r="D23" i="10"/>
  <c r="W42" i="11"/>
  <c r="U149" i="11"/>
  <c r="U64" i="11"/>
  <c r="U63" i="11"/>
  <c r="U58" i="11"/>
  <c r="R70" i="11" l="1"/>
  <c r="R71" i="11" s="1"/>
  <c r="O18" i="10" s="1"/>
  <c r="M18" i="10"/>
  <c r="M154" i="11"/>
  <c r="M157" i="11" s="1"/>
  <c r="M152" i="11"/>
  <c r="M162" i="11"/>
  <c r="S66" i="11"/>
  <c r="S70" i="11" s="1"/>
  <c r="X42" i="11"/>
  <c r="X44" i="11" s="1"/>
  <c r="U67" i="11"/>
  <c r="L21" i="10" s="1"/>
  <c r="J21" i="10"/>
  <c r="W44" i="11"/>
  <c r="W47" i="11"/>
  <c r="P22" i="10"/>
  <c r="T67" i="11"/>
  <c r="L20" i="10" s="1"/>
  <c r="J20" i="10"/>
  <c r="I20" i="10"/>
  <c r="M17" i="10"/>
  <c r="N17" i="10" s="1"/>
  <c r="R17" i="10"/>
  <c r="Y205" i="11"/>
  <c r="Y22" i="11" s="1"/>
  <c r="Y23" i="11" s="1"/>
  <c r="I21" i="10"/>
  <c r="U161" i="11"/>
  <c r="U153" i="11"/>
  <c r="H23" i="10"/>
  <c r="V52" i="11"/>
  <c r="V56" i="11" s="1"/>
  <c r="V57" i="11" s="1"/>
  <c r="V141" i="11"/>
  <c r="V138" i="11" s="1"/>
  <c r="V139" i="11" s="1"/>
  <c r="V60" i="11" s="1"/>
  <c r="V61" i="11" s="1"/>
  <c r="T161" i="11"/>
  <c r="T153" i="11"/>
  <c r="Q71" i="11"/>
  <c r="O17" i="10" s="1"/>
  <c r="Z203" i="11"/>
  <c r="AA198" i="11" s="1"/>
  <c r="S71" i="11" l="1"/>
  <c r="O19" i="10" s="1"/>
  <c r="N18" i="10"/>
  <c r="M155" i="11"/>
  <c r="N162" i="11" s="1"/>
  <c r="N165" i="11" s="1"/>
  <c r="M165" i="11"/>
  <c r="M163" i="11"/>
  <c r="N160" i="11" s="1"/>
  <c r="K19" i="10"/>
  <c r="M19" i="10" s="1"/>
  <c r="N19" i="10" s="1"/>
  <c r="N152" i="11"/>
  <c r="X47" i="11"/>
  <c r="X52" i="11" s="1"/>
  <c r="X56" i="11" s="1"/>
  <c r="X57" i="11" s="1"/>
  <c r="U66" i="11"/>
  <c r="U70" i="11" s="1"/>
  <c r="E44" i="11"/>
  <c r="G87" i="7" s="1"/>
  <c r="G88" i="7" s="1"/>
  <c r="D11" i="9" s="1"/>
  <c r="T66" i="11"/>
  <c r="T70" i="11" s="1"/>
  <c r="Z205" i="11"/>
  <c r="Z22" i="11" s="1"/>
  <c r="Z23" i="11" s="1"/>
  <c r="Z42" i="11" s="1"/>
  <c r="Z47" i="11" s="1"/>
  <c r="AA203" i="11"/>
  <c r="AB198" i="11" s="1"/>
  <c r="V64" i="11"/>
  <c r="V63" i="11"/>
  <c r="V149" i="11"/>
  <c r="Y42" i="11"/>
  <c r="Y47" i="11" s="1"/>
  <c r="D25" i="10"/>
  <c r="F44" i="11"/>
  <c r="X45" i="11" s="1"/>
  <c r="P24" i="10"/>
  <c r="P23" i="10"/>
  <c r="V58" i="11"/>
  <c r="W52" i="11"/>
  <c r="W56" i="11" s="1"/>
  <c r="W57" i="11" s="1"/>
  <c r="W58" i="11" s="1"/>
  <c r="W141" i="11"/>
  <c r="W138" i="11" s="1"/>
  <c r="W139" i="11" s="1"/>
  <c r="W60" i="11" s="1"/>
  <c r="W61" i="11" s="1"/>
  <c r="K21" i="10" l="1"/>
  <c r="M21" i="10" s="1"/>
  <c r="N154" i="11"/>
  <c r="N157" i="11" s="1"/>
  <c r="R19" i="10"/>
  <c r="X141" i="11"/>
  <c r="X138" i="11" s="1"/>
  <c r="X139" i="11" s="1"/>
  <c r="X60" i="11" s="1"/>
  <c r="X61" i="11" s="1"/>
  <c r="X64" i="11" s="1"/>
  <c r="N163" i="11"/>
  <c r="O160" i="11" s="1"/>
  <c r="K20" i="10"/>
  <c r="R20" i="10" s="1"/>
  <c r="D26" i="10"/>
  <c r="H26" i="10" s="1"/>
  <c r="AA205" i="11"/>
  <c r="AA22" i="11" s="1"/>
  <c r="AA23" i="11" s="1"/>
  <c r="D27" i="10" s="1"/>
  <c r="W45" i="11"/>
  <c r="W64" i="11"/>
  <c r="W149" i="11"/>
  <c r="W63" i="11"/>
  <c r="U71" i="11"/>
  <c r="O21" i="10" s="1"/>
  <c r="T71" i="11"/>
  <c r="O20" i="10" s="1"/>
  <c r="H25" i="10"/>
  <c r="V161" i="11"/>
  <c r="V153" i="11"/>
  <c r="V67" i="11"/>
  <c r="L22" i="10" s="1"/>
  <c r="J22" i="10"/>
  <c r="AB203" i="11"/>
  <c r="AC198" i="11" s="1"/>
  <c r="Z52" i="11"/>
  <c r="Z56" i="11" s="1"/>
  <c r="Z57" i="11" s="1"/>
  <c r="Z141" i="11"/>
  <c r="Z138" i="11" s="1"/>
  <c r="Z139" i="11" s="1"/>
  <c r="Z60" i="11" s="1"/>
  <c r="Z61" i="11" s="1"/>
  <c r="X58" i="11"/>
  <c r="L45" i="11"/>
  <c r="AG45" i="11"/>
  <c r="AH45" i="11"/>
  <c r="H45" i="11"/>
  <c r="K45" i="11"/>
  <c r="Y45" i="11"/>
  <c r="N45" i="11"/>
  <c r="AF45" i="11"/>
  <c r="G84" i="7"/>
  <c r="G85" i="7" s="1"/>
  <c r="D10" i="9" s="1"/>
  <c r="P45" i="11"/>
  <c r="AC45" i="11"/>
  <c r="Z45" i="11"/>
  <c r="J45" i="11"/>
  <c r="AJ45" i="11"/>
  <c r="G45" i="11"/>
  <c r="R45" i="11"/>
  <c r="O45" i="11"/>
  <c r="M45" i="11"/>
  <c r="I45" i="11"/>
  <c r="AA45" i="11"/>
  <c r="Q45" i="11"/>
  <c r="AD45" i="11"/>
  <c r="AI45" i="11"/>
  <c r="AE45" i="11"/>
  <c r="AB45" i="11"/>
  <c r="S45" i="11"/>
  <c r="T45" i="11"/>
  <c r="U45" i="11"/>
  <c r="V45" i="11"/>
  <c r="Y141" i="11"/>
  <c r="Y138" i="11" s="1"/>
  <c r="Y139" i="11" s="1"/>
  <c r="Y60" i="11" s="1"/>
  <c r="Y61" i="11" s="1"/>
  <c r="Y52" i="11"/>
  <c r="Y56" i="11" s="1"/>
  <c r="Y57" i="11" s="1"/>
  <c r="I22" i="10"/>
  <c r="R21" i="10" l="1"/>
  <c r="X149" i="11"/>
  <c r="X161" i="11" s="1"/>
  <c r="N155" i="11"/>
  <c r="O152" i="11" s="1"/>
  <c r="X63" i="11"/>
  <c r="I24" i="10" s="1"/>
  <c r="AA42" i="11"/>
  <c r="AA47" i="11" s="1"/>
  <c r="AA141" i="11" s="1"/>
  <c r="AA138" i="11" s="1"/>
  <c r="AA139" i="11" s="1"/>
  <c r="AA60" i="11" s="1"/>
  <c r="AA61" i="11" s="1"/>
  <c r="M20" i="10"/>
  <c r="N20" i="10" s="1"/>
  <c r="N21" i="10" s="1"/>
  <c r="V66" i="11"/>
  <c r="K22" i="10" s="1"/>
  <c r="H27" i="10"/>
  <c r="Y64" i="11"/>
  <c r="Y149" i="11"/>
  <c r="Y63" i="11"/>
  <c r="Z149" i="11"/>
  <c r="Z64" i="11"/>
  <c r="Z63" i="11"/>
  <c r="J24" i="10"/>
  <c r="X67" i="11"/>
  <c r="L24" i="10" s="1"/>
  <c r="I23" i="10"/>
  <c r="J23" i="10"/>
  <c r="W67" i="11"/>
  <c r="L23" i="10" s="1"/>
  <c r="Z58" i="11"/>
  <c r="Y58" i="11"/>
  <c r="AB205" i="11"/>
  <c r="AB22" i="11" s="1"/>
  <c r="AB23" i="11" s="1"/>
  <c r="AC203" i="11"/>
  <c r="AD198" i="11" s="1"/>
  <c r="W161" i="11"/>
  <c r="W153" i="11"/>
  <c r="F84" i="7"/>
  <c r="AA52" i="11" l="1"/>
  <c r="AA56" i="11" s="1"/>
  <c r="AA57" i="11" s="1"/>
  <c r="AA58" i="11" s="1"/>
  <c r="X153" i="11"/>
  <c r="O162" i="11"/>
  <c r="O165" i="11" s="1"/>
  <c r="O154" i="11"/>
  <c r="O157" i="11" s="1"/>
  <c r="V70" i="11"/>
  <c r="V71" i="11" s="1"/>
  <c r="O22" i="10" s="1"/>
  <c r="X66" i="11"/>
  <c r="X70" i="11" s="1"/>
  <c r="AC205" i="11"/>
  <c r="AC22" i="11" s="1"/>
  <c r="AC23" i="11" s="1"/>
  <c r="AC42" i="11" s="1"/>
  <c r="AC47" i="11" s="1"/>
  <c r="AD203" i="11"/>
  <c r="AE198" i="11" s="1"/>
  <c r="R22" i="10"/>
  <c r="M22" i="10"/>
  <c r="N22" i="10" s="1"/>
  <c r="AB42" i="11"/>
  <c r="AB47" i="11" s="1"/>
  <c r="D28" i="10"/>
  <c r="Z67" i="11"/>
  <c r="L26" i="10" s="1"/>
  <c r="J26" i="10"/>
  <c r="I25" i="10"/>
  <c r="Y67" i="11"/>
  <c r="L25" i="10" s="1"/>
  <c r="J25" i="10"/>
  <c r="AA149" i="11"/>
  <c r="AA64" i="11"/>
  <c r="AA63" i="11"/>
  <c r="I26" i="10"/>
  <c r="Z161" i="11"/>
  <c r="Z153" i="11"/>
  <c r="Y153" i="11"/>
  <c r="Y161" i="11"/>
  <c r="W66" i="11"/>
  <c r="O163" i="11" l="1"/>
  <c r="P160" i="11" s="1"/>
  <c r="O155" i="11"/>
  <c r="P152" i="11" s="1"/>
  <c r="K24" i="10"/>
  <c r="M24" i="10" s="1"/>
  <c r="D29" i="10"/>
  <c r="H29" i="10" s="1"/>
  <c r="Z66" i="11"/>
  <c r="Z70" i="11" s="1"/>
  <c r="AD205" i="11"/>
  <c r="AD22" i="11" s="1"/>
  <c r="AD23" i="11" s="1"/>
  <c r="AD42" i="11" s="1"/>
  <c r="AD47" i="11" s="1"/>
  <c r="K23" i="10"/>
  <c r="W70" i="11"/>
  <c r="AC52" i="11"/>
  <c r="AC56" i="11" s="1"/>
  <c r="AC57" i="11" s="1"/>
  <c r="AC141" i="11"/>
  <c r="AC138" i="11" s="1"/>
  <c r="AC139" i="11" s="1"/>
  <c r="AC60" i="11" s="1"/>
  <c r="AC61" i="11" s="1"/>
  <c r="J27" i="10"/>
  <c r="AA67" i="11"/>
  <c r="L27" i="10" s="1"/>
  <c r="AB52" i="11"/>
  <c r="AB56" i="11" s="1"/>
  <c r="AB57" i="11" s="1"/>
  <c r="AB141" i="11"/>
  <c r="AB138" i="11" s="1"/>
  <c r="AB139" i="11" s="1"/>
  <c r="AB60" i="11" s="1"/>
  <c r="AB61" i="11" s="1"/>
  <c r="AE203" i="11"/>
  <c r="AF198" i="11" s="1"/>
  <c r="Y66" i="11"/>
  <c r="I27" i="10"/>
  <c r="AA153" i="11"/>
  <c r="AA161" i="11"/>
  <c r="H28" i="10"/>
  <c r="P154" i="11" l="1"/>
  <c r="P157" i="11" s="1"/>
  <c r="P162" i="11"/>
  <c r="P165" i="11" s="1"/>
  <c r="R24" i="10"/>
  <c r="K26" i="10"/>
  <c r="M26" i="10" s="1"/>
  <c r="D30" i="10"/>
  <c r="H30" i="10" s="1"/>
  <c r="AE205" i="11"/>
  <c r="AE22" i="11" s="1"/>
  <c r="AE23" i="11" s="1"/>
  <c r="D31" i="10" s="1"/>
  <c r="H31" i="10" s="1"/>
  <c r="AB64" i="11"/>
  <c r="AB63" i="11"/>
  <c r="AB149" i="11"/>
  <c r="AC63" i="11"/>
  <c r="AC149" i="11"/>
  <c r="AC64" i="11"/>
  <c r="W71" i="11"/>
  <c r="O23" i="10" s="1"/>
  <c r="X71" i="11"/>
  <c r="O24" i="10" s="1"/>
  <c r="AD141" i="11"/>
  <c r="AD138" i="11" s="1"/>
  <c r="AD139" i="11" s="1"/>
  <c r="AD60" i="11" s="1"/>
  <c r="AD61" i="11" s="1"/>
  <c r="AD52" i="11"/>
  <c r="AD56" i="11" s="1"/>
  <c r="AD57" i="11" s="1"/>
  <c r="AD58" i="11" s="1"/>
  <c r="K25" i="10"/>
  <c r="Y70" i="11"/>
  <c r="Y71" i="11" s="1"/>
  <c r="O25" i="10" s="1"/>
  <c r="AF203" i="11"/>
  <c r="AG198" i="11" s="1"/>
  <c r="AB58" i="11"/>
  <c r="AC58" i="11"/>
  <c r="R23" i="10"/>
  <c r="M23" i="10"/>
  <c r="N23" i="10" s="1"/>
  <c r="N24" i="10" s="1"/>
  <c r="AA66" i="11"/>
  <c r="P155" i="11" l="1"/>
  <c r="Q152" i="11" s="1"/>
  <c r="P163" i="11"/>
  <c r="Q160" i="11" s="1"/>
  <c r="R26" i="10"/>
  <c r="AE42" i="11"/>
  <c r="AE47" i="11" s="1"/>
  <c r="AE52" i="11" s="1"/>
  <c r="AE56" i="11" s="1"/>
  <c r="AE57" i="11" s="1"/>
  <c r="AG203" i="11"/>
  <c r="AH198" i="11" s="1"/>
  <c r="R25" i="10"/>
  <c r="M25" i="10"/>
  <c r="N25" i="10" s="1"/>
  <c r="N26" i="10" s="1"/>
  <c r="AD149" i="11"/>
  <c r="AD63" i="11"/>
  <c r="AD64" i="11"/>
  <c r="AC161" i="11"/>
  <c r="AC153" i="11"/>
  <c r="AB161" i="11"/>
  <c r="AB153" i="11"/>
  <c r="J28" i="10"/>
  <c r="AB67" i="11"/>
  <c r="L28" i="10" s="1"/>
  <c r="J29" i="10"/>
  <c r="AC67" i="11"/>
  <c r="L29" i="10" s="1"/>
  <c r="I29" i="10"/>
  <c r="I28" i="10"/>
  <c r="AF205" i="11"/>
  <c r="AF22" i="11" s="1"/>
  <c r="AF23" i="11" s="1"/>
  <c r="Z71" i="11"/>
  <c r="O26" i="10" s="1"/>
  <c r="K27" i="10"/>
  <c r="AA70" i="11"/>
  <c r="Q154" i="11" l="1"/>
  <c r="Q157" i="11" s="1"/>
  <c r="Q162" i="11"/>
  <c r="Q165" i="11" s="1"/>
  <c r="AE141" i="11"/>
  <c r="AE138" i="11" s="1"/>
  <c r="AE139" i="11" s="1"/>
  <c r="AE60" i="11" s="1"/>
  <c r="AE61" i="11" s="1"/>
  <c r="AE63" i="11" s="1"/>
  <c r="AB66" i="11"/>
  <c r="AB70" i="11" s="1"/>
  <c r="AB71" i="11" s="1"/>
  <c r="O28" i="10" s="1"/>
  <c r="AC66" i="11"/>
  <c r="K29" i="10" s="1"/>
  <c r="AG205" i="11"/>
  <c r="AG22" i="11" s="1"/>
  <c r="AG23" i="11" s="1"/>
  <c r="AG42" i="11" s="1"/>
  <c r="AG47" i="11" s="1"/>
  <c r="R27" i="10"/>
  <c r="M27" i="10"/>
  <c r="N27" i="10" s="1"/>
  <c r="AE58" i="11"/>
  <c r="AD67" i="11"/>
  <c r="L30" i="10" s="1"/>
  <c r="J30" i="10"/>
  <c r="AD161" i="11"/>
  <c r="AD153" i="11"/>
  <c r="AH203" i="11"/>
  <c r="AI198" i="11" s="1"/>
  <c r="AA71" i="11"/>
  <c r="O27" i="10" s="1"/>
  <c r="D32" i="10"/>
  <c r="AF42" i="11"/>
  <c r="AF47" i="11" s="1"/>
  <c r="I30" i="10"/>
  <c r="Q155" i="11" l="1"/>
  <c r="R154" i="11" s="1"/>
  <c r="R157" i="11" s="1"/>
  <c r="K28" i="10"/>
  <c r="R28" i="10" s="1"/>
  <c r="Q163" i="11"/>
  <c r="R160" i="11" s="1"/>
  <c r="AE64" i="11"/>
  <c r="J31" i="10" s="1"/>
  <c r="AE149" i="11"/>
  <c r="D33" i="10"/>
  <c r="H33" i="10" s="1"/>
  <c r="AD66" i="11"/>
  <c r="K30" i="10" s="1"/>
  <c r="AC70" i="11"/>
  <c r="AC71" i="11" s="1"/>
  <c r="O29" i="10" s="1"/>
  <c r="AH205" i="11"/>
  <c r="AH22" i="11" s="1"/>
  <c r="AH23" i="11" s="1"/>
  <c r="AH42" i="11" s="1"/>
  <c r="AH47" i="11" s="1"/>
  <c r="H32" i="10"/>
  <c r="I31" i="10"/>
  <c r="AG52" i="11"/>
  <c r="AG56" i="11" s="1"/>
  <c r="AG57" i="11" s="1"/>
  <c r="AG141" i="11"/>
  <c r="AG138" i="11" s="1"/>
  <c r="AG139" i="11" s="1"/>
  <c r="AG60" i="11" s="1"/>
  <c r="AG61" i="11" s="1"/>
  <c r="AF52" i="11"/>
  <c r="AF56" i="11" s="1"/>
  <c r="AF57" i="11" s="1"/>
  <c r="AF141" i="11"/>
  <c r="AF138" i="11" s="1"/>
  <c r="AF139" i="11" s="1"/>
  <c r="AF60" i="11" s="1"/>
  <c r="AF61" i="11" s="1"/>
  <c r="AI203" i="11"/>
  <c r="AJ198" i="11" s="1"/>
  <c r="AJ203" i="11" s="1"/>
  <c r="AJ205" i="11" s="1"/>
  <c r="AJ22" i="11" s="1"/>
  <c r="AJ23" i="11" s="1"/>
  <c r="R29" i="10"/>
  <c r="M29" i="10"/>
  <c r="M28" i="10" l="1"/>
  <c r="N28" i="10" s="1"/>
  <c r="N29" i="10" s="1"/>
  <c r="R162" i="11"/>
  <c r="R163" i="11" s="1"/>
  <c r="S160" i="11" s="1"/>
  <c r="R152" i="11"/>
  <c r="R155" i="11" s="1"/>
  <c r="S154" i="11" s="1"/>
  <c r="S157" i="11" s="1"/>
  <c r="AE67" i="11"/>
  <c r="L31" i="10" s="1"/>
  <c r="AE161" i="11"/>
  <c r="AE153" i="11"/>
  <c r="AD70" i="11"/>
  <c r="AD71" i="11" s="1"/>
  <c r="O30" i="10" s="1"/>
  <c r="D34" i="10"/>
  <c r="H34" i="10" s="1"/>
  <c r="AJ42" i="11"/>
  <c r="AJ47" i="11" s="1"/>
  <c r="D36" i="10"/>
  <c r="AF58" i="11"/>
  <c r="AG58" i="11"/>
  <c r="AH52" i="11"/>
  <c r="AH56" i="11" s="1"/>
  <c r="AH57" i="11" s="1"/>
  <c r="AH141" i="11"/>
  <c r="AH138" i="11" s="1"/>
  <c r="AH139" i="11" s="1"/>
  <c r="AH60" i="11" s="1"/>
  <c r="AH61" i="11" s="1"/>
  <c r="AF63" i="11"/>
  <c r="AF64" i="11"/>
  <c r="AF149" i="11"/>
  <c r="AG149" i="11"/>
  <c r="AG63" i="11"/>
  <c r="AG64" i="11"/>
  <c r="R30" i="10"/>
  <c r="M30" i="10"/>
  <c r="AI205" i="11"/>
  <c r="AI22" i="11" s="1"/>
  <c r="AI23" i="11" s="1"/>
  <c r="R165" i="11" l="1"/>
  <c r="N30" i="10"/>
  <c r="S162" i="11"/>
  <c r="S165" i="11" s="1"/>
  <c r="S152" i="11"/>
  <c r="S155" i="11" s="1"/>
  <c r="T154" i="11" s="1"/>
  <c r="T157" i="11" s="1"/>
  <c r="AE66" i="11"/>
  <c r="K31" i="10" s="1"/>
  <c r="I33" i="10"/>
  <c r="AF161" i="11"/>
  <c r="AF153" i="11"/>
  <c r="AH64" i="11"/>
  <c r="AH149" i="11"/>
  <c r="AH63" i="11"/>
  <c r="H36" i="10"/>
  <c r="D35" i="10"/>
  <c r="AI42" i="11"/>
  <c r="AI47" i="11" s="1"/>
  <c r="AG67" i="11"/>
  <c r="L33" i="10" s="1"/>
  <c r="J33" i="10"/>
  <c r="AG161" i="11"/>
  <c r="AG154" i="11"/>
  <c r="AG153" i="11"/>
  <c r="AG162" i="11"/>
  <c r="J32" i="10"/>
  <c r="AF67" i="11"/>
  <c r="L32" i="10" s="1"/>
  <c r="AJ141" i="11"/>
  <c r="AJ138" i="11" s="1"/>
  <c r="AJ139" i="11" s="1"/>
  <c r="AJ60" i="11" s="1"/>
  <c r="AJ61" i="11" s="1"/>
  <c r="AJ52" i="11"/>
  <c r="AJ56" i="11" s="1"/>
  <c r="AJ57" i="11" s="1"/>
  <c r="AH58" i="11"/>
  <c r="I32" i="10"/>
  <c r="S163" i="11" l="1"/>
  <c r="T160" i="11" s="1"/>
  <c r="T152" i="11"/>
  <c r="T155" i="11" s="1"/>
  <c r="U154" i="11" s="1"/>
  <c r="U157" i="11" s="1"/>
  <c r="T162" i="11"/>
  <c r="T165" i="11" s="1"/>
  <c r="AE70" i="11"/>
  <c r="AE71" i="11" s="1"/>
  <c r="O31" i="10" s="1"/>
  <c r="AG157" i="11"/>
  <c r="AG165" i="11"/>
  <c r="AF66" i="11"/>
  <c r="K32" i="10" s="1"/>
  <c r="AJ64" i="11"/>
  <c r="AJ63" i="11"/>
  <c r="AJ149" i="11"/>
  <c r="R31" i="10"/>
  <c r="M31" i="10"/>
  <c r="N31" i="10" s="1"/>
  <c r="AI52" i="11"/>
  <c r="AI56" i="11" s="1"/>
  <c r="AI57" i="11" s="1"/>
  <c r="AI141" i="11"/>
  <c r="AI138" i="11" s="1"/>
  <c r="AI139" i="11" s="1"/>
  <c r="AI60" i="11" s="1"/>
  <c r="AI61" i="11" s="1"/>
  <c r="I34" i="10"/>
  <c r="J34" i="10"/>
  <c r="AH67" i="11"/>
  <c r="L34" i="10" s="1"/>
  <c r="H35" i="10"/>
  <c r="AH161" i="11"/>
  <c r="AH153" i="11"/>
  <c r="AH154" i="11"/>
  <c r="AH162" i="11"/>
  <c r="AG66" i="11"/>
  <c r="T163" i="11" l="1"/>
  <c r="U160" i="11" s="1"/>
  <c r="U152" i="11"/>
  <c r="U155" i="11" s="1"/>
  <c r="U162" i="11"/>
  <c r="U165" i="11" s="1"/>
  <c r="AF70" i="11"/>
  <c r="AF71" i="11" s="1"/>
  <c r="O32" i="10" s="1"/>
  <c r="AH165" i="11"/>
  <c r="AH157" i="11"/>
  <c r="K33" i="10"/>
  <c r="AG70" i="11"/>
  <c r="I36" i="10"/>
  <c r="AI149" i="11"/>
  <c r="AI63" i="11"/>
  <c r="AI64" i="11"/>
  <c r="AJ161" i="11"/>
  <c r="AJ162" i="11"/>
  <c r="AJ154" i="11"/>
  <c r="AJ153" i="11"/>
  <c r="J36" i="10"/>
  <c r="AJ67" i="11"/>
  <c r="L36" i="10" s="1"/>
  <c r="AH66" i="11"/>
  <c r="AJ58" i="11"/>
  <c r="D73" i="11"/>
  <c r="AI58" i="11"/>
  <c r="R32" i="10"/>
  <c r="M32" i="10"/>
  <c r="N32" i="10" s="1"/>
  <c r="U163" i="11" l="1"/>
  <c r="V160" i="11" s="1"/>
  <c r="V152" i="11"/>
  <c r="V162" i="11"/>
  <c r="V165" i="11" s="1"/>
  <c r="V154" i="11"/>
  <c r="V157" i="11" s="1"/>
  <c r="AJ165" i="11"/>
  <c r="AJ157" i="11"/>
  <c r="AJ66" i="11"/>
  <c r="K36" i="10" s="1"/>
  <c r="K34" i="10"/>
  <c r="AH70" i="11"/>
  <c r="AH71" i="11" s="1"/>
  <c r="O34" i="10" s="1"/>
  <c r="J35" i="10"/>
  <c r="AI67" i="11"/>
  <c r="L35" i="10" s="1"/>
  <c r="AI161" i="11"/>
  <c r="AI153" i="11"/>
  <c r="AI162" i="11"/>
  <c r="AI154" i="11"/>
  <c r="R33" i="10"/>
  <c r="M33" i="10"/>
  <c r="N33" i="10" s="1"/>
  <c r="I35" i="10"/>
  <c r="AG71" i="11"/>
  <c r="O33" i="10" s="1"/>
  <c r="V163" i="11" l="1"/>
  <c r="W160" i="11" s="1"/>
  <c r="V155" i="11"/>
  <c r="AI66" i="11"/>
  <c r="K35" i="10" s="1"/>
  <c r="AI165" i="11"/>
  <c r="AJ70" i="11"/>
  <c r="AI157" i="11"/>
  <c r="R36" i="10"/>
  <c r="M36" i="10"/>
  <c r="M34" i="10"/>
  <c r="N34" i="10" s="1"/>
  <c r="R34" i="10"/>
  <c r="W152" i="11" l="1"/>
  <c r="W162" i="11"/>
  <c r="W154" i="11"/>
  <c r="W157" i="11" s="1"/>
  <c r="AI70" i="11"/>
  <c r="D74" i="11" s="1"/>
  <c r="R35" i="10"/>
  <c r="M35" i="10"/>
  <c r="N35" i="10" s="1"/>
  <c r="N36" i="10" s="1"/>
  <c r="W163" i="11" l="1"/>
  <c r="X160" i="11" s="1"/>
  <c r="W165" i="11"/>
  <c r="AJ71" i="11"/>
  <c r="O36" i="10" s="1"/>
  <c r="W155" i="11"/>
  <c r="AI71" i="11"/>
  <c r="O35" i="10" s="1"/>
  <c r="D75" i="11"/>
  <c r="G247" i="11" s="1"/>
  <c r="K247" i="11" l="1"/>
  <c r="O247" i="11"/>
  <c r="X154" i="11"/>
  <c r="X157" i="11" s="1"/>
  <c r="X152" i="11"/>
  <c r="X162" i="11"/>
  <c r="X165" i="11" s="1"/>
  <c r="X155" i="11" l="1"/>
  <c r="X163" i="11"/>
  <c r="Y160" i="11" s="1"/>
  <c r="Y152" i="11" l="1"/>
  <c r="Y162" i="11"/>
  <c r="Y165" i="11" s="1"/>
  <c r="Y154" i="11"/>
  <c r="Y157" i="11" s="1"/>
  <c r="Y163" i="11" l="1"/>
  <c r="Z160" i="11" s="1"/>
  <c r="Y155" i="11"/>
  <c r="Z152" i="11" l="1"/>
  <c r="Z154" i="11"/>
  <c r="Z157" i="11" s="1"/>
  <c r="Z162" i="11"/>
  <c r="Z165" i="11" s="1"/>
  <c r="Z163" i="11" l="1"/>
  <c r="AA160" i="11" s="1"/>
  <c r="Z155" i="11"/>
  <c r="AA152" i="11" l="1"/>
  <c r="AA162" i="11"/>
  <c r="AA165" i="11" s="1"/>
  <c r="AA154" i="11"/>
  <c r="AA157" i="11" s="1"/>
  <c r="AA163" i="11" l="1"/>
  <c r="AB160" i="11" s="1"/>
  <c r="AA155" i="11"/>
  <c r="AB152" i="11" l="1"/>
  <c r="AB162" i="11"/>
  <c r="AB154" i="11"/>
  <c r="AB157" i="11" s="1"/>
  <c r="AB165" i="11" l="1"/>
  <c r="AB163" i="11"/>
  <c r="AC160" i="11" s="1"/>
  <c r="AB155" i="11"/>
  <c r="AC152" i="11" l="1"/>
  <c r="AC154" i="11"/>
  <c r="AC157" i="11" s="1"/>
  <c r="AC162" i="11"/>
  <c r="AC165" i="11" s="1"/>
  <c r="AC163" i="11" l="1"/>
  <c r="AD160" i="11" s="1"/>
  <c r="AC155" i="11"/>
  <c r="AD152" i="11" l="1"/>
  <c r="AD162" i="11"/>
  <c r="AD154" i="11"/>
  <c r="AD157" i="11" s="1"/>
  <c r="AD165" i="11" l="1"/>
  <c r="AD163" i="11"/>
  <c r="AE160" i="11" s="1"/>
  <c r="AD155" i="11"/>
  <c r="AE152" i="11" l="1"/>
  <c r="AE154" i="11"/>
  <c r="AE157" i="11" s="1"/>
  <c r="AE162" i="11"/>
  <c r="AE165" i="11" s="1"/>
  <c r="AE163" i="11" l="1"/>
  <c r="AF160" i="11" s="1"/>
  <c r="AE155" i="11"/>
  <c r="AF152" i="11" l="1"/>
  <c r="AF162" i="11"/>
  <c r="AF154" i="11"/>
  <c r="AF157" i="11" s="1"/>
  <c r="AF165" i="11" l="1"/>
  <c r="AF163" i="11"/>
  <c r="AG160" i="11" s="1"/>
  <c r="AG163" i="11" s="1"/>
  <c r="AH160" i="11" s="1"/>
  <c r="AH163" i="11" s="1"/>
  <c r="AI160" i="11" s="1"/>
  <c r="AI163" i="11" s="1"/>
  <c r="AJ160" i="11" s="1"/>
  <c r="AJ163" i="11" s="1"/>
  <c r="AF155" i="11"/>
  <c r="AG152" i="11" s="1"/>
  <c r="AG155" i="11" s="1"/>
  <c r="AH152" i="11" s="1"/>
  <c r="AH155" i="11" s="1"/>
  <c r="AI152" i="11" s="1"/>
  <c r="AI155" i="11" s="1"/>
  <c r="AJ152" i="11" s="1"/>
  <c r="AJ15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D23" authorId="0" shapeId="0" xr:uid="{00000000-0006-0000-0000-000001000000}">
      <text>
        <r>
          <rPr>
            <b/>
            <sz val="14"/>
            <color indexed="81"/>
            <rFont val="Tahoma"/>
            <family val="2"/>
          </rPr>
          <t>Note:</t>
        </r>
        <r>
          <rPr>
            <sz val="14"/>
            <color indexed="81"/>
            <rFont val="Tahoma"/>
            <family val="2"/>
          </rPr>
          <t xml:space="preserve">
The user is strongly encouraged to review all of these comments in order to understand key features of the CREST model.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Gifford</author>
    <author>Tyler Leeds</author>
    <author>Mimi Zhang</author>
  </authors>
  <commentList>
    <comment ref="C4" authorId="0" shapeId="0" xr:uid="{00000000-0006-0000-0100-000001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such entries.  It is the model user's responsibility to provide inputs which accurately represent the project being modeled.  In some cases, a range of typical values for a specified input are provided in that input's "Notes" cell.</t>
        </r>
      </text>
    </comment>
    <comment ref="I4" authorId="0" shapeId="0" xr:uid="{00000000-0006-0000-0100-00000200000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xr:uid="{00000000-0006-0000-0100-000003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such entries. It is the model user's responsibility to provide inputs which accurately represent the project being modeled. In some cases, a range of typical values for a specified input are provided in that input's "Notes" cell.
</t>
        </r>
      </text>
    </comment>
    <comment ref="S4" authorId="0" shapeId="0" xr:uid="{00000000-0006-0000-0100-00000400000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5" authorId="0" shapeId="0" xr:uid="{00000000-0006-0000-0100-000005000000}">
      <text>
        <r>
          <rPr>
            <b/>
            <sz val="8"/>
            <color indexed="81"/>
            <rFont val="Tahoma"/>
            <family val="2"/>
          </rPr>
          <t>See "unit" definitions at the bottom of this worksheet.</t>
        </r>
        <r>
          <rPr>
            <sz val="8"/>
            <color indexed="81"/>
            <rFont val="Tahoma"/>
            <family val="2"/>
          </rPr>
          <t xml:space="preserve">
</t>
        </r>
      </text>
    </comment>
    <comment ref="P5" authorId="0" shapeId="0" xr:uid="{00000000-0006-0000-0100-000006000000}">
      <text>
        <r>
          <rPr>
            <b/>
            <sz val="8"/>
            <color indexed="81"/>
            <rFont val="Tahoma"/>
            <family val="2"/>
          </rPr>
          <t>See "unit" definitions at the bottom of this worksheet.</t>
        </r>
        <r>
          <rPr>
            <sz val="8"/>
            <color indexed="81"/>
            <rFont val="Tahoma"/>
            <family val="2"/>
          </rPr>
          <t xml:space="preserve">
</t>
        </r>
      </text>
    </comment>
    <comment ref="I6" authorId="1" shapeId="0" xr:uid="{00000000-0006-0000-0100-000007000000}">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6" authorId="1" shapeId="0" xr:uid="{00000000-0006-0000-0100-00000800000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7" authorId="1" shapeId="0" xr:uid="{00000000-0006-0000-0100-000009000000}">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and any other factors that could reduce production.
The Net Capacity Factor is applied without adjustment in the first operating year, and is degraded annually thereafter.
Geothermal projects typically have a capacity factor between 70% and 90%. 
Input must be between 0% and 100%.
</t>
        </r>
      </text>
    </comment>
    <comment ref="S7" authorId="1" shapeId="0" xr:uid="{00000000-0006-0000-0100-00000A00000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8" authorId="0" shapeId="0" xr:uid="{00000000-0006-0000-0100-00000B000000}">
      <text>
        <r>
          <rPr>
            <b/>
            <sz val="14"/>
            <color indexed="81"/>
            <rFont val="Tahoma"/>
            <family val="2"/>
          </rPr>
          <t>Note:</t>
        </r>
        <r>
          <rPr>
            <sz val="14"/>
            <color indexed="81"/>
            <rFont val="Tahoma"/>
            <family val="2"/>
          </rPr>
          <t xml:space="preserve">
This is a calculation, based on the system size, capacity factor and availability provided above.
</t>
        </r>
      </text>
    </comment>
    <comment ref="S8" authorId="1" shapeId="0" xr:uid="{00000000-0006-0000-0100-00000C000000}">
      <text>
        <r>
          <rPr>
            <b/>
            <sz val="14"/>
            <color indexed="81"/>
            <rFont val="Tahoma"/>
            <family val="2"/>
          </rPr>
          <t xml:space="preserve">Note: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9" authorId="1" shapeId="0" xr:uid="{00000000-0006-0000-0100-00000D000000}">
      <text>
        <r>
          <rPr>
            <b/>
            <sz val="14"/>
            <color indexed="81"/>
            <rFont val="Tahoma"/>
            <family val="2"/>
          </rPr>
          <t>Note:</t>
        </r>
        <r>
          <rPr>
            <sz val="14"/>
            <color indexed="81"/>
            <rFont val="Tahoma"/>
            <family val="2"/>
          </rPr>
          <t xml:space="preserve">
Use this input to select whether production degradation will be calculated by entering a single input or by specifying a degradation % for each year of operation.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
</t>
        </r>
      </text>
    </comment>
    <comment ref="I10" authorId="1" shapeId="0" xr:uid="{00000000-0006-0000-0100-00000E000000}">
      <text>
        <r>
          <rPr>
            <b/>
            <sz val="14"/>
            <color indexed="81"/>
            <rFont val="Tahoma"/>
            <family val="2"/>
          </rPr>
          <t>Note:</t>
        </r>
        <r>
          <rPr>
            <sz val="14"/>
            <color indexed="81"/>
            <rFont val="Tahoma"/>
            <family val="2"/>
          </rPr>
          <t xml:space="preserve">
Experience has shown that many power generation projects experience annual degradation in production. This input refers to degradation due to the efficiency of aging equipment or other factors relating to the power plant and infrastructure. If the level of detail for the production degradation input is "Annual", the input in this field will apply to each year of project life.
Please refer to the explanation of </t>
        </r>
        <r>
          <rPr>
            <b/>
            <sz val="14"/>
            <color indexed="81"/>
            <rFont val="Tahoma"/>
            <family val="2"/>
          </rPr>
          <t xml:space="preserve">"Geothermal-Specific Project Performance Inputs" </t>
        </r>
        <r>
          <rPr>
            <sz val="14"/>
            <color indexed="81"/>
            <rFont val="Tahoma"/>
            <family val="2"/>
          </rPr>
          <t xml:space="preserve">in the User Manual for a more detailed description of the purpose and application of these production-related inputs.
Input must not be less than zero.
</t>
        </r>
        <r>
          <rPr>
            <u/>
            <sz val="14"/>
            <color indexed="81"/>
            <rFont val="Tahoma"/>
            <family val="2"/>
          </rPr>
          <t xml:space="preserve">
</t>
        </r>
      </text>
    </comment>
    <comment ref="S10" authorId="1" shapeId="0" xr:uid="{00000000-0006-0000-0100-00000F00000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I11" authorId="1" shapeId="0" xr:uid="{00000000-0006-0000-0100-000010000000}">
      <text>
        <r>
          <rPr>
            <b/>
            <sz val="14"/>
            <color indexed="81"/>
            <rFont val="Tahoma"/>
            <family val="2"/>
          </rPr>
          <t>Note:</t>
        </r>
        <r>
          <rPr>
            <sz val="14"/>
            <color indexed="81"/>
            <rFont val="Tahoma"/>
            <family val="2"/>
          </rPr>
          <t xml:space="preserve">
Click on the link in this line to enter production degradation on a year by year basis on the "Complex Inputs" worksheet.  When complete, click on the "Click Here to Return to Inputs Worksheet" to return to this location.</t>
        </r>
      </text>
    </comment>
    <comment ref="S11" authorId="1" shapeId="0" xr:uid="{00000000-0006-0000-0100-00001100000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I12" authorId="2" shapeId="0" xr:uid="{00000000-0006-0000-0100-000012000000}">
      <text>
        <r>
          <rPr>
            <b/>
            <sz val="14"/>
            <color indexed="81"/>
            <rFont val="Tahoma"/>
            <family val="2"/>
          </rPr>
          <t>Note:</t>
        </r>
        <r>
          <rPr>
            <sz val="14"/>
            <color indexed="81"/>
            <rFont val="Tahoma"/>
            <family val="2"/>
          </rPr>
          <t xml:space="preserve">
A geothermal power plant may be sized to capture less than the maximum thermal potential available from the drilled wells. For example, a power plant with a nameplate capacity of 10 MW may be installed on a resource of 12 MW to maximize the use of plant capacity as thermal resource potential degrades over time.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
Input must be greater than zero.</t>
        </r>
      </text>
    </comment>
    <comment ref="S12" authorId="1" shapeId="0" xr:uid="{00000000-0006-0000-0100-00001300000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3" authorId="2" shapeId="0" xr:uid="{00000000-0006-0000-0100-000014000000}">
      <text>
        <r>
          <rPr>
            <b/>
            <sz val="14"/>
            <color indexed="81"/>
            <rFont val="Tahoma"/>
            <family val="2"/>
          </rPr>
          <t xml:space="preserve">Note:
</t>
        </r>
        <r>
          <rPr>
            <sz val="14"/>
            <color indexed="81"/>
            <rFont val="Tahoma"/>
            <family val="2"/>
          </rPr>
          <t xml:space="preserve">This value represents the initial potential for electricity generation from the wells that have been drilled for the project. This value does not represent the total geothermal resource at a site (including un-drilled sites), but only the resource that can be tapped for electricity generation.
For example, a site could have the thermal resource potential to support 30 MWs of generation, but thermal resource potential degrades as it is used for power production, so the actual geothermal power plant capacity should be sized to be less than the thermal resource potential.  This will allow the power plant to maximize its capacity even as the thermal resource degrades over time.  There is the potential to drill new wells to achieve better generation plant available once thermal resource potential has degraded below plant capacity.
</t>
        </r>
        <r>
          <rPr>
            <u/>
            <sz val="14"/>
            <color indexed="81"/>
            <rFont val="Tahoma"/>
            <family val="2"/>
          </rPr>
          <t xml:space="preserve">
</t>
        </r>
        <r>
          <rPr>
            <sz val="14"/>
            <color indexed="81"/>
            <rFont val="Tahoma"/>
            <family val="2"/>
          </rPr>
          <t xml:space="preserve">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t>
        </r>
        <r>
          <rPr>
            <u/>
            <sz val="14"/>
            <color indexed="81"/>
            <rFont val="Tahoma"/>
            <family val="2"/>
          </rPr>
          <t xml:space="preserve">
</t>
        </r>
      </text>
    </comment>
    <comment ref="S13" authorId="1" shapeId="0" xr:uid="{00000000-0006-0000-0100-00001500000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4" authorId="1" shapeId="0" xr:uid="{00000000-0006-0000-0100-000016000000}">
      <text>
        <r>
          <rPr>
            <b/>
            <sz val="14"/>
            <color indexed="81"/>
            <rFont val="Tahoma"/>
            <family val="2"/>
          </rPr>
          <t>Note:</t>
        </r>
        <r>
          <rPr>
            <sz val="14"/>
            <color indexed="81"/>
            <rFont val="Tahoma"/>
            <family val="2"/>
          </rPr>
          <t xml:space="preserve">
Use this input to select whether thermal resource degradation will be calculated by entering a single input or by specifying a degradation % for each year of operation.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
</t>
        </r>
      </text>
    </comment>
    <comment ref="S14" authorId="1" shapeId="0" xr:uid="{00000000-0006-0000-0100-00001700000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5" authorId="1" shapeId="0" xr:uid="{00000000-0006-0000-0100-000018000000}">
      <text>
        <r>
          <rPr>
            <b/>
            <sz val="14"/>
            <color indexed="81"/>
            <rFont val="Tahoma"/>
            <family val="2"/>
          </rPr>
          <t>Note:</t>
        </r>
        <r>
          <rPr>
            <sz val="14"/>
            <color indexed="81"/>
            <rFont val="Tahoma"/>
            <family val="2"/>
          </rPr>
          <t xml:space="preserve">
This input refers to degradation due to the gradual loss of thermal resource over time, not to losses associated with aging of power plant infrastructure.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
Input must not be less than zero.</t>
        </r>
        <r>
          <rPr>
            <u/>
            <sz val="14"/>
            <color indexed="81"/>
            <rFont val="Tahoma"/>
            <family val="2"/>
          </rPr>
          <t xml:space="preserve">
</t>
        </r>
      </text>
    </comment>
    <comment ref="I16" authorId="1" shapeId="0" xr:uid="{00000000-0006-0000-0100-000019000000}">
      <text>
        <r>
          <rPr>
            <b/>
            <sz val="14"/>
            <color indexed="81"/>
            <rFont val="Tahoma"/>
            <family val="2"/>
          </rPr>
          <t>Note:</t>
        </r>
        <r>
          <rPr>
            <sz val="14"/>
            <color indexed="81"/>
            <rFont val="Tahoma"/>
            <family val="2"/>
          </rPr>
          <t xml:space="preserve">
Click on the link in this line to enter thermal resource degradation on a year by year basis on the "Complex Inputs" worksheet.  When complete, click on the "Click Here to Return to Inputs Worksheet" to return to this location.</t>
        </r>
      </text>
    </comment>
    <comment ref="P16" authorId="0" shapeId="0" xr:uid="{00000000-0006-0000-0100-00001A000000}">
      <text>
        <r>
          <rPr>
            <b/>
            <sz val="8"/>
            <color indexed="81"/>
            <rFont val="Tahoma"/>
            <family val="2"/>
          </rPr>
          <t>See "unit" definitions at the bottom of this worksheet.</t>
        </r>
        <r>
          <rPr>
            <sz val="8"/>
            <color indexed="81"/>
            <rFont val="Tahoma"/>
            <family val="2"/>
          </rPr>
          <t xml:space="preserve">
</t>
        </r>
      </text>
    </comment>
    <comment ref="I17" authorId="1" shapeId="0" xr:uid="{00000000-0006-0000-0100-00001B000000}">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7" authorId="0" shapeId="0" xr:uid="{00000000-0006-0000-0100-00001C00000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F19" authorId="0" shapeId="0" xr:uid="{00000000-0006-0000-0100-00001D000000}">
      <text>
        <r>
          <rPr>
            <b/>
            <sz val="8"/>
            <color indexed="81"/>
            <rFont val="Tahoma"/>
            <family val="2"/>
          </rPr>
          <t>See "unit" definitions at the bottom of this worksheet.</t>
        </r>
        <r>
          <rPr>
            <sz val="8"/>
            <color indexed="81"/>
            <rFont val="Tahoma"/>
            <family val="2"/>
          </rPr>
          <t xml:space="preserve">
</t>
        </r>
      </text>
    </comment>
    <comment ref="P19" authorId="0" shapeId="0" xr:uid="{00000000-0006-0000-0100-00001E000000}">
      <text>
        <r>
          <rPr>
            <b/>
            <sz val="8"/>
            <color indexed="81"/>
            <rFont val="Tahoma"/>
            <family val="2"/>
          </rPr>
          <t>See "unit" definitions at the bottom of this worksheet.</t>
        </r>
        <r>
          <rPr>
            <sz val="8"/>
            <color indexed="81"/>
            <rFont val="Tahoma"/>
            <family val="2"/>
          </rPr>
          <t xml:space="preserve">
</t>
        </r>
      </text>
    </comment>
    <comment ref="I20" authorId="1" shapeId="0" xr:uid="{00000000-0006-0000-0100-00001F00000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a breakdown of Wellfield, Drilling, Power Plant and Interconnection costs in total dollars. Complex offers line-by-line project costing with user-defined categories and costs per line-item.  
The user must select the preferred method and use the cells below to enter all applicable cost information. If you choose the "Complex" option, you will need to follow the link below to the "Complex Inputs" worksheet.
</t>
        </r>
      </text>
    </comment>
    <comment ref="S20" authorId="0" shapeId="0" xr:uid="{00000000-0006-0000-0100-000020000000}">
      <text>
        <r>
          <rPr>
            <b/>
            <sz val="14"/>
            <color indexed="81"/>
            <rFont val="Tahoma"/>
            <family val="2"/>
          </rPr>
          <t>Note:</t>
        </r>
        <r>
          <rPr>
            <sz val="14"/>
            <color indexed="81"/>
            <rFont val="Tahoma"/>
            <family val="2"/>
          </rPr>
          <t xml:space="preserve">
This inflation rate applies to the O&amp;M expense, insurance, and project management costs entered above, if applicable. 
The model allows the user to specify an inflation assumption for an "initial period" and a second inflation assumption "thereafter." The final year of the "initial period" is also user-defined. The purpose of this feature is to recognize that inflationary trends may change over time, or that some projects may not expect inflation of O&amp;M expenses for the first several years, but may expect inflation thereafter.
This inflation rate does not apply to PILOT or Royalty costs. 
This input cannot be less than zero.
</t>
        </r>
      </text>
    </comment>
    <comment ref="I21" authorId="1" shapeId="0" xr:uid="{00000000-0006-0000-0100-000021000000}">
      <text>
        <r>
          <rPr>
            <b/>
            <sz val="14"/>
            <color indexed="81"/>
            <rFont val="Tahoma"/>
            <family val="2"/>
          </rPr>
          <t>Note:</t>
        </r>
        <r>
          <rPr>
            <sz val="14"/>
            <color indexed="81"/>
            <rFont val="Tahoma"/>
            <family val="2"/>
          </rPr>
          <t xml:space="preserve">
When "Simple" is selected in the Cost Level of Detail cell, this "Installed Cost, excluding exploration" row represents the cumulative cost of the confirmation, wellfield and power plant phases.  This includes all hardware, balance of plant, interconnection, development, interest during construction and financing costs. The amount excludes exploration expenses, which are input below.  This figure also does not account for any tax incentives, grants, or other cash incentives, each of which will be addressed elsewhere in the model. This figure should, however, reflect any applicable sales tax or exemptions thereof. Input must be greater than zero.
</t>
        </r>
        <r>
          <rPr>
            <b/>
            <sz val="14"/>
            <color indexed="81"/>
            <rFont val="Tahoma"/>
            <family val="2"/>
          </rPr>
          <t>Exploration costs should not be included in this input.</t>
        </r>
        <r>
          <rPr>
            <sz val="14"/>
            <color indexed="81"/>
            <rFont val="Tahoma"/>
            <family val="2"/>
          </rPr>
          <t xml:space="preserve">
</t>
        </r>
      </text>
    </comment>
    <comment ref="S21" authorId="0" shapeId="0" xr:uid="{00000000-0006-0000-0100-00002200000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S22" authorId="0" shapeId="0" xr:uid="{00000000-0006-0000-0100-000023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I23" authorId="1" shapeId="0" xr:uid="{00000000-0006-0000-0100-000024000000}">
      <text>
        <r>
          <rPr>
            <b/>
            <sz val="14"/>
            <color indexed="81"/>
            <rFont val="Tahoma"/>
            <family val="2"/>
          </rPr>
          <t>Note:</t>
        </r>
        <r>
          <rPr>
            <sz val="14"/>
            <color indexed="81"/>
            <rFont val="Tahoma"/>
            <family val="2"/>
          </rPr>
          <t xml:space="preserve">
The exploration phase of a project may involve scoping out many sites over a large region. It is possible that exploration could lead to the development of multiple projects, but the inputs asked for in this category are limited to the exploration costs attributed to this particular project.
Based on a review of recently-published geothermal literature, the exploration phase is assumed to include desk-top studies, initial surface exploration, temperature gradient drilling, and, in some cases, deep exploratory drilling.  By comparison, the confimration phase is assumed to include continued deep exploratory drilling, resource assessment, and initial production wells (and may therefore be more capital intensive than the exploration phase).</t>
        </r>
        <r>
          <rPr>
            <u/>
            <sz val="14"/>
            <color indexed="81"/>
            <rFont val="Tahoma"/>
            <family val="2"/>
          </rPr>
          <t xml:space="preserve">
</t>
        </r>
        <r>
          <rPr>
            <sz val="14"/>
            <color indexed="81"/>
            <rFont val="Tahoma"/>
            <family val="2"/>
          </rPr>
          <t>For a detailed description of the concepts and components associated with a geothermal power facility, please refer to the Geothermal Electricity Technology Evaluation Model (GETEM) and related resources -- see link on "Introduction" worksheet.</t>
        </r>
        <r>
          <rPr>
            <u/>
            <sz val="14"/>
            <color indexed="81"/>
            <rFont val="Tahoma"/>
            <family val="2"/>
          </rPr>
          <t xml:space="preserve">
</t>
        </r>
      </text>
    </comment>
    <comment ref="I24" authorId="0" shapeId="0" xr:uid="{00000000-0006-0000-0100-000025000000}">
      <text>
        <r>
          <rPr>
            <b/>
            <sz val="14"/>
            <color indexed="81"/>
            <rFont val="Tahoma"/>
            <family val="2"/>
          </rPr>
          <t>Note:</t>
        </r>
        <r>
          <rPr>
            <sz val="14"/>
            <color indexed="81"/>
            <rFont val="Tahoma"/>
            <family val="2"/>
          </rPr>
          <t xml:space="preserve">
Total exploration expense, in nominal dollars at the time of investment.  This input does not take into account the exploration investor's expected return on invested capital.</t>
        </r>
      </text>
    </comment>
    <comment ref="S24" authorId="0" shapeId="0" xr:uid="{00000000-0006-0000-0100-000026000000}">
      <text>
        <r>
          <rPr>
            <b/>
            <sz val="14"/>
            <color indexed="81"/>
            <rFont val="Tahoma"/>
            <family val="2"/>
          </rPr>
          <t xml:space="preserve">Note:
</t>
        </r>
        <r>
          <rPr>
            <sz val="14"/>
            <color indexed="81"/>
            <rFont val="Tahoma"/>
            <family val="2"/>
          </rPr>
          <t xml:space="preserve">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r>
          <rPr>
            <sz val="8"/>
            <color indexed="81"/>
            <rFont val="Tahoma"/>
            <family val="2"/>
          </rPr>
          <t xml:space="preserve">
</t>
        </r>
      </text>
    </comment>
    <comment ref="I25" authorId="1" shapeId="0" xr:uid="{00000000-0006-0000-0100-000027000000}">
      <text>
        <r>
          <rPr>
            <b/>
            <sz val="14"/>
            <color indexed="81"/>
            <rFont val="Tahoma"/>
            <family val="2"/>
          </rPr>
          <t>Note:</t>
        </r>
        <r>
          <rPr>
            <sz val="14"/>
            <color indexed="81"/>
            <rFont val="Tahoma"/>
            <family val="2"/>
          </rPr>
          <t xml:space="preserve">
For the purpose of this model, it is assumed that during the exploration process, exploration wells are drilled until a successful well is found. The exploration success rate represents the % of successful wells to the total number drilled. This input is used to capture the impact of all exploration costs necesssary to complete the successful development of a geothermal power project. 
This cell offers the inputs between 5% and 50%. </t>
        </r>
        <r>
          <rPr>
            <u/>
            <sz val="14"/>
            <color indexed="81"/>
            <rFont val="Tahoma"/>
            <family val="2"/>
          </rPr>
          <t xml:space="preserve">
</t>
        </r>
      </text>
    </comment>
    <comment ref="S25" authorId="0" shapeId="0" xr:uid="{00000000-0006-0000-0100-000028000000}">
      <text>
        <r>
          <rPr>
            <b/>
            <sz val="14"/>
            <color indexed="81"/>
            <rFont val="Tahoma"/>
            <family val="2"/>
          </rPr>
          <t xml:space="preserve">Note:
</t>
        </r>
        <r>
          <rPr>
            <sz val="14"/>
            <color indexed="81"/>
            <rFont val="Tahoma"/>
            <family val="2"/>
          </rPr>
          <t xml:space="preserve">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t>
        </r>
      </text>
    </comment>
    <comment ref="I26" authorId="1" shapeId="0" xr:uid="{00000000-0006-0000-0100-000029000000}">
      <text>
        <r>
          <rPr>
            <b/>
            <sz val="14"/>
            <color indexed="81"/>
            <rFont val="Tahoma"/>
            <family val="2"/>
          </rPr>
          <t>Note:</t>
        </r>
        <r>
          <rPr>
            <sz val="14"/>
            <color indexed="81"/>
            <rFont val="Tahoma"/>
            <family val="2"/>
          </rPr>
          <t xml:space="preserve">
This is a calculation that shows the total number of wells drilled during the project's exploration phase.</t>
        </r>
      </text>
    </comment>
    <comment ref="I27" authorId="1" shapeId="0" xr:uid="{00000000-0006-0000-0100-00002A000000}">
      <text>
        <r>
          <rPr>
            <b/>
            <sz val="14"/>
            <color indexed="81"/>
            <rFont val="Tahoma"/>
            <family val="2"/>
          </rPr>
          <t>Note:</t>
        </r>
        <r>
          <rPr>
            <sz val="14"/>
            <color indexed="81"/>
            <rFont val="Tahoma"/>
            <family val="2"/>
          </rPr>
          <t xml:space="preserve">
This includes drilling and non-drilling costs on a per well basis. Drilling costs for exploration wells may be greater than or less than for production wells, depending on the diameter of the exploration well, the proximity to an existing wellfield and the relative amount of information about each site's geologic characteristics prior to drilling. 
This input cannot be less than zero.
</t>
        </r>
        <r>
          <rPr>
            <u/>
            <sz val="14"/>
            <color indexed="81"/>
            <rFont val="Tahoma"/>
            <family val="2"/>
          </rPr>
          <t xml:space="preserve">
</t>
        </r>
        <r>
          <rPr>
            <sz val="14"/>
            <color indexed="81"/>
            <rFont val="Tahoma"/>
            <family val="2"/>
          </rPr>
          <t>Total Exploration Costs have been estimated to be between $100/kW and $225/kW in recent third-party public reports.</t>
        </r>
        <r>
          <rPr>
            <u/>
            <sz val="14"/>
            <color indexed="81"/>
            <rFont val="Tahoma"/>
            <family val="2"/>
          </rPr>
          <t xml:space="preserve">
</t>
        </r>
      </text>
    </comment>
    <comment ref="S27" authorId="0" shapeId="0" xr:uid="{00000000-0006-0000-0100-00002B000000}">
      <text>
        <r>
          <rPr>
            <b/>
            <sz val="14"/>
            <color indexed="81"/>
            <rFont val="Tahoma"/>
            <family val="2"/>
          </rPr>
          <t xml:space="preserve">Note:
</t>
        </r>
        <r>
          <rPr>
            <sz val="14"/>
            <color indexed="81"/>
            <rFont val="Tahoma"/>
            <family val="2"/>
          </rPr>
          <t xml:space="preserve">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r>
          <rPr>
            <sz val="8"/>
            <color indexed="81"/>
            <rFont val="Tahoma"/>
            <family val="2"/>
          </rPr>
          <t xml:space="preserve">
</t>
        </r>
        <r>
          <rPr>
            <sz val="14"/>
            <color indexed="81"/>
            <rFont val="Tahoma"/>
            <family val="2"/>
          </rPr>
          <t>Total Fixed O&amp;M Costs have been estimated to be between $40/kW-yr and $60/kW-yr in recent third-party public reports.</t>
        </r>
      </text>
    </comment>
    <comment ref="I28" authorId="1" shapeId="0" xr:uid="{00000000-0006-0000-0100-00002C000000}">
      <text>
        <r>
          <rPr>
            <b/>
            <sz val="14"/>
            <color indexed="81"/>
            <rFont val="Tahoma"/>
            <family val="2"/>
          </rPr>
          <t>Note:</t>
        </r>
        <r>
          <rPr>
            <sz val="14"/>
            <color indexed="81"/>
            <rFont val="Tahoma"/>
            <family val="2"/>
          </rPr>
          <t xml:space="preserve">
Non-well exploration costs refer to all costs accrued in the exploration phase that are not calculated on a per well basis. 
This input cannot be less than zero.</t>
        </r>
      </text>
    </comment>
    <comment ref="S28" authorId="0" shapeId="0" xr:uid="{00000000-0006-0000-0100-00002D000000}">
      <text>
        <r>
          <rPr>
            <b/>
            <sz val="14"/>
            <color indexed="81"/>
            <rFont val="Tahoma"/>
            <family val="2"/>
          </rPr>
          <t xml:space="preserve">Note:
</t>
        </r>
        <r>
          <rPr>
            <sz val="14"/>
            <color indexed="81"/>
            <rFont val="Tahoma"/>
            <family val="2"/>
          </rPr>
          <t xml:space="preserve">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Total Variable O&amp;M Costs have been estimated to be between 2.25 cents/kWh and 4.50 cents/kWh in recent third-party public reports.</t>
        </r>
      </text>
    </comment>
    <comment ref="I30" authorId="1" shapeId="0" xr:uid="{00000000-0006-0000-0100-00002E000000}">
      <text>
        <r>
          <rPr>
            <b/>
            <sz val="14"/>
            <color indexed="81"/>
            <rFont val="Tahoma"/>
            <family val="2"/>
          </rPr>
          <t>Note:</t>
        </r>
        <r>
          <rPr>
            <sz val="14"/>
            <color indexed="81"/>
            <rFont val="Tahoma"/>
            <family val="2"/>
          </rPr>
          <t xml:space="preserve">
This input specifies the return requirement of the exploration investor, and is set such that it </t>
        </r>
        <r>
          <rPr>
            <b/>
            <sz val="14"/>
            <color indexed="81"/>
            <rFont val="Tahoma"/>
            <family val="2"/>
          </rPr>
          <t>reflects the period (and associated risk) from inception to commercial operation</t>
        </r>
        <r>
          <rPr>
            <sz val="14"/>
            <color indexed="81"/>
            <rFont val="Tahoma"/>
            <family val="2"/>
          </rPr>
          <t xml:space="preserve"> -- a time period which may vary widely by project.  For example, this input set at 100% reflects a situation in which the exploration investor expects to double its money, r</t>
        </r>
        <r>
          <rPr>
            <b/>
            <sz val="14"/>
            <color indexed="81"/>
            <rFont val="Tahoma"/>
            <family val="2"/>
          </rPr>
          <t>egardless of how long it takes for the project to achieve commercial operation</t>
        </r>
        <r>
          <rPr>
            <sz val="14"/>
            <color indexed="81"/>
            <rFont val="Tahoma"/>
            <family val="2"/>
          </rPr>
          <t xml:space="preserve">.
</t>
        </r>
        <r>
          <rPr>
            <b/>
            <sz val="14"/>
            <color indexed="81"/>
            <rFont val="Tahoma"/>
            <family val="2"/>
          </rPr>
          <t>COD = Commercial Operation Date</t>
        </r>
        <r>
          <rPr>
            <sz val="14"/>
            <color indexed="81"/>
            <rFont val="Tahoma"/>
            <family val="2"/>
          </rPr>
          <t xml:space="preserve">
</t>
        </r>
      </text>
    </comment>
    <comment ref="S30" authorId="1" shapeId="0" xr:uid="{00000000-0006-0000-0100-00002F00000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modeling power generating facility.
Input cannot be less than zero.
</t>
        </r>
      </text>
    </comment>
    <comment ref="I31" authorId="1" shapeId="0" xr:uid="{00000000-0006-0000-0100-000030000000}">
      <text>
        <r>
          <rPr>
            <b/>
            <sz val="14"/>
            <color indexed="81"/>
            <rFont val="Tahoma"/>
            <family val="2"/>
          </rPr>
          <t>Note:</t>
        </r>
        <r>
          <rPr>
            <sz val="14"/>
            <color indexed="81"/>
            <rFont val="Tahoma"/>
            <family val="2"/>
          </rPr>
          <t xml:space="preserve">
This is the total capital invested in the exploration phase.   This figure excludes the estimated return requirement (time-value of money).</t>
        </r>
      </text>
    </comment>
    <comment ref="S31" authorId="0" shapeId="0" xr:uid="{00000000-0006-0000-0100-00003100000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I32" authorId="1" shapeId="0" xr:uid="{00000000-0006-0000-0100-000032000000}">
      <text>
        <r>
          <rPr>
            <b/>
            <sz val="14"/>
            <color indexed="81"/>
            <rFont val="Tahoma"/>
            <family val="2"/>
          </rPr>
          <t>Note:</t>
        </r>
        <r>
          <rPr>
            <sz val="14"/>
            <color indexed="81"/>
            <rFont val="Tahoma"/>
            <family val="2"/>
          </rPr>
          <t xml:space="preserve">
Calculation of total exploration costs.   This figure includes the estimated time-value of exploration capital during the exploration stage, and assumes a draw-down schedule such that the total exploration cost is outstanding for approximately one-half of the duration of exploration.
COD = Commercial Operation Date</t>
        </r>
      </text>
    </comment>
    <comment ref="S32" authorId="1" shapeId="0" xr:uid="{00000000-0006-0000-0100-000033000000}">
      <text>
        <r>
          <rPr>
            <b/>
            <sz val="14"/>
            <color indexed="81"/>
            <rFont val="Tahoma"/>
            <family val="2"/>
          </rPr>
          <t>Note:</t>
        </r>
        <r>
          <rPr>
            <sz val="14"/>
            <color indexed="81"/>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S33" authorId="1" shapeId="0" xr:uid="{00000000-0006-0000-0100-000034000000}">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F34" authorId="0" shapeId="0" xr:uid="{00000000-0006-0000-0100-000035000000}">
      <text>
        <r>
          <rPr>
            <b/>
            <sz val="8"/>
            <color indexed="81"/>
            <rFont val="Tahoma"/>
            <family val="2"/>
          </rPr>
          <t>See "unit" definitions at the bottom of this worksheet.</t>
        </r>
        <r>
          <rPr>
            <sz val="8"/>
            <color indexed="81"/>
            <rFont val="Tahoma"/>
            <family val="2"/>
          </rPr>
          <t xml:space="preserve">
</t>
        </r>
      </text>
    </comment>
    <comment ref="I34" authorId="0" shapeId="0" xr:uid="{00000000-0006-0000-0100-000036000000}">
      <text>
        <r>
          <rPr>
            <b/>
            <sz val="14"/>
            <color indexed="81"/>
            <rFont val="Tahoma"/>
            <family val="2"/>
          </rPr>
          <t xml:space="preserve">Note:
</t>
        </r>
        <r>
          <rPr>
            <sz val="14"/>
            <color indexed="81"/>
            <rFont val="Tahoma"/>
            <family val="2"/>
          </rPr>
          <t>Based on a review of recently-published geothermal literature, the exploration phase is assumed to include desk-top studies, initial surface exploration, temperature gradient drilling, and, in some cases, deep exploratory drilling -- while the confimration phase is assumed to include continued deep exploratory drilling, resource assessment, and initial production wells (and may therefore be more capital intensive than the exploration phase).
In general terms, the confirmation phase is thought to continue until the developer is able to finance the remainder of project drilling with debt.  In today's market, this will not occur until 100% of the resource has been proven.
In the "Simple" Case, Confirmation Costs are assumed to comprise 15% of non-exploration project costs while well field and power plant costs are assumed to comprise the remaining 85%, including the completion of project drilling.</t>
        </r>
        <r>
          <rPr>
            <b/>
            <sz val="14"/>
            <color indexed="81"/>
            <rFont val="Tahoma"/>
            <family val="2"/>
          </rPr>
          <t xml:space="preserve">
</t>
        </r>
        <r>
          <rPr>
            <sz val="14"/>
            <color indexed="81"/>
            <rFont val="Tahoma"/>
            <family val="2"/>
          </rPr>
          <t>For a detailed description of the concepts and components associated with a geothermal power facility, please refer to the Geothermal Electricity Technology Evaluation Model (GETEM) and related resources -- see link on "Introduction" worksheet.</t>
        </r>
      </text>
    </comment>
    <comment ref="S34" authorId="1" shapeId="0" xr:uid="{00000000-0006-0000-0100-00003700000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I35" authorId="1" shapeId="0" xr:uid="{00000000-0006-0000-0100-000038000000}">
      <text>
        <r>
          <rPr>
            <b/>
            <sz val="14"/>
            <color indexed="81"/>
            <rFont val="Tahoma"/>
            <family val="2"/>
          </rPr>
          <t>Note:</t>
        </r>
        <r>
          <rPr>
            <sz val="14"/>
            <color indexed="81"/>
            <rFont val="Tahoma"/>
            <family val="2"/>
          </rPr>
          <t xml:space="preserve">
This input is the percentage of confirmation wells that can be used as production wells.</t>
        </r>
        <r>
          <rPr>
            <u/>
            <sz val="14"/>
            <color indexed="81"/>
            <rFont val="Tahoma"/>
            <family val="2"/>
          </rPr>
          <t xml:space="preserve">
</t>
        </r>
        <r>
          <rPr>
            <sz val="14"/>
            <color indexed="81"/>
            <rFont val="Tahoma"/>
            <family val="2"/>
          </rPr>
          <t xml:space="preserve">
</t>
        </r>
      </text>
    </comment>
    <comment ref="S35" authorId="1" shapeId="0" xr:uid="{00000000-0006-0000-0100-00003900000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I36" authorId="1" shapeId="0" xr:uid="{00000000-0006-0000-0100-00003A000000}">
      <text>
        <r>
          <rPr>
            <b/>
            <sz val="14"/>
            <color indexed="81"/>
            <rFont val="Tahoma"/>
            <family val="2"/>
          </rPr>
          <t>Note:</t>
        </r>
        <r>
          <rPr>
            <sz val="14"/>
            <color indexed="81"/>
            <rFont val="Tahoma"/>
            <family val="2"/>
          </rPr>
          <t xml:space="preserve">
This input dictates the number of wells required in the confirmation phase.
</t>
        </r>
      </text>
    </comment>
    <comment ref="S36" authorId="1" shapeId="0" xr:uid="{00000000-0006-0000-0100-00003B00000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I37" authorId="1" shapeId="0" xr:uid="{00000000-0006-0000-0100-00003C000000}">
      <text>
        <r>
          <rPr>
            <b/>
            <sz val="14"/>
            <color indexed="81"/>
            <rFont val="Tahoma"/>
            <family val="2"/>
          </rPr>
          <t>Note:</t>
        </r>
        <r>
          <rPr>
            <sz val="14"/>
            <color indexed="81"/>
            <rFont val="Tahoma"/>
            <family val="2"/>
          </rPr>
          <t xml:space="preserve">
This input includes well related confirmation costs ($/Well), including drilling, site prep, and anything else that is part of the confirmation process and calculated on a per well basis. Drilling costs for confirmation wells may be higher than for production wells, due to the absence of information about each drill site's geologic characteristics prior to drilling.</t>
        </r>
        <r>
          <rPr>
            <u/>
            <sz val="14"/>
            <color indexed="81"/>
            <rFont val="Tahoma"/>
            <family val="2"/>
          </rPr>
          <t xml:space="preserve">
</t>
        </r>
        <r>
          <rPr>
            <sz val="14"/>
            <color indexed="81"/>
            <rFont val="Tahoma"/>
            <family val="2"/>
          </rPr>
          <t>Total Confirmation Costs have been estimated to be between $300/kW and $750/kW in recent third-party public reports.</t>
        </r>
        <r>
          <rPr>
            <u/>
            <sz val="14"/>
            <color indexed="81"/>
            <rFont val="Tahoma"/>
            <family val="2"/>
          </rPr>
          <t xml:space="preserve">
</t>
        </r>
      </text>
    </comment>
    <comment ref="S37" authorId="0" shapeId="0" xr:uid="{00000000-0006-0000-0100-00003D00000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I38" authorId="1" shapeId="0" xr:uid="{00000000-0006-0000-0100-00003E000000}">
      <text>
        <r>
          <rPr>
            <b/>
            <sz val="14"/>
            <color indexed="81"/>
            <rFont val="Tahoma"/>
            <family val="2"/>
          </rPr>
          <t>Note:</t>
        </r>
        <r>
          <rPr>
            <sz val="14"/>
            <color indexed="81"/>
            <rFont val="Tahoma"/>
            <family val="2"/>
          </rPr>
          <t xml:space="preserve">
This input includes total non-well costs that apply to the confirmation process but are not calculated on a per well basis.</t>
        </r>
      </text>
    </comment>
    <comment ref="I39" authorId="1" shapeId="0" xr:uid="{00000000-0006-0000-0100-00003F000000}">
      <text>
        <r>
          <rPr>
            <b/>
            <sz val="14"/>
            <color indexed="81"/>
            <rFont val="Tahoma"/>
            <family val="2"/>
          </rPr>
          <t>Note:</t>
        </r>
        <r>
          <rPr>
            <sz val="14"/>
            <color indexed="81"/>
            <rFont val="Tahoma"/>
            <family val="2"/>
          </rPr>
          <t xml:space="preserve">
This input expresses the number of years over which confirmation activities take place.</t>
        </r>
        <r>
          <rPr>
            <u/>
            <sz val="14"/>
            <color indexed="81"/>
            <rFont val="Tahoma"/>
            <family val="2"/>
          </rPr>
          <t xml:space="preserve">
</t>
        </r>
      </text>
    </comment>
    <comment ref="I40" authorId="1" shapeId="0" xr:uid="{00000000-0006-0000-0100-000040000000}">
      <text>
        <r>
          <rPr>
            <b/>
            <sz val="14"/>
            <color indexed="81"/>
            <rFont val="Tahoma"/>
            <family val="2"/>
          </rPr>
          <t>Note:</t>
        </r>
        <r>
          <rPr>
            <sz val="14"/>
            <color indexed="81"/>
            <rFont val="Tahoma"/>
            <family val="2"/>
          </rPr>
          <t xml:space="preserve">
This input states the portion of the confirmation phase finaced with debt.  While debt financing is not generally available for confirmation activities in today's market, it is posisble that lenders will enter this stage of project development in the future.
Confirmation equity and debt are replaced with permanent financing at the time of commercial operations.</t>
        </r>
      </text>
    </comment>
    <comment ref="S40" authorId="0" shapeId="0" xr:uid="{00000000-0006-0000-0100-000041000000}">
      <text>
        <r>
          <rPr>
            <b/>
            <sz val="14"/>
            <color indexed="81"/>
            <rFont val="Tahoma"/>
            <family val="2"/>
          </rPr>
          <t>Note:</t>
        </r>
        <r>
          <rPr>
            <sz val="14"/>
            <color indexed="81"/>
            <rFont val="Tahoma"/>
            <family val="2"/>
          </rPr>
          <t xml:space="preserve">
For geothermal projects, the most significant capital expenditure expected during operations is the need to drill one or more replacement wells.  These input cells allow for assumptions regarding up to two phases of replacement wells over a project's useful life.  
Caution: Modelers should take into account the contract duration and the project's useful life when considering whether to assume one or two sets of replacement wells. 
This input should be greater than zero and less than the Project Useful Life.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
</t>
        </r>
      </text>
    </comment>
    <comment ref="I41" authorId="0" shapeId="0" xr:uid="{00000000-0006-0000-0100-000042000000}">
      <text>
        <r>
          <rPr>
            <b/>
            <sz val="14"/>
            <color indexed="81"/>
            <rFont val="Tahoma"/>
            <family val="2"/>
          </rPr>
          <t xml:space="preserve">Note:
</t>
        </r>
        <r>
          <rPr>
            <sz val="14"/>
            <color indexed="81"/>
            <rFont val="Tahoma"/>
            <family val="2"/>
          </rPr>
          <t>The annual interest rate on construction debt. This input cannot be less than zero.
Again, this rate applies solely to the assumed loan taken specifically for the construction of the power plant and associated project-specific infrastructure.</t>
        </r>
      </text>
    </comment>
    <comment ref="S41" authorId="0" shapeId="0" xr:uid="{00000000-0006-0000-0100-000043000000}">
      <text>
        <r>
          <rPr>
            <b/>
            <sz val="14"/>
            <color indexed="81"/>
            <rFont val="Tahoma"/>
            <family val="2"/>
          </rPr>
          <t>Note:</t>
        </r>
        <r>
          <rPr>
            <sz val="14"/>
            <color indexed="81"/>
            <rFont val="Tahoma"/>
            <family val="2"/>
          </rPr>
          <t xml:space="preserve">
This input specifies the number of replacement wells drilled during the applicable year.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t>
        </r>
      </text>
    </comment>
    <comment ref="I42" authorId="1" shapeId="0" xr:uid="{00000000-0006-0000-0100-000044000000}">
      <text>
        <r>
          <rPr>
            <b/>
            <sz val="14"/>
            <color indexed="81"/>
            <rFont val="Tahoma"/>
            <family val="2"/>
          </rPr>
          <t>Note:</t>
        </r>
        <r>
          <rPr>
            <sz val="14"/>
            <color indexed="81"/>
            <rFont val="Tahoma"/>
            <family val="2"/>
          </rPr>
          <t xml:space="preserve">
Unlike exploration and confirmation - which are assumed to be funded 100% by equity -- the well field and power plant construction phase is likely to be financed with both equity and debt.  
This input states the portion of the construction phase finaced with equity.  Construction equity and debt are replaced with permanent financing at the time of commercial operations.</t>
        </r>
        <r>
          <rPr>
            <u/>
            <sz val="14"/>
            <color indexed="81"/>
            <rFont val="Tahoma"/>
            <family val="2"/>
          </rPr>
          <t xml:space="preserve">
</t>
        </r>
      </text>
    </comment>
    <comment ref="S42" authorId="0" shapeId="0" xr:uid="{00000000-0006-0000-0100-000045000000}">
      <text>
        <r>
          <rPr>
            <b/>
            <sz val="14"/>
            <color indexed="81"/>
            <rFont val="Tahoma"/>
            <family val="2"/>
          </rPr>
          <t xml:space="preserve">Note:
</t>
        </r>
        <r>
          <rPr>
            <sz val="14"/>
            <color indexed="81"/>
            <rFont val="Tahoma"/>
            <family val="2"/>
          </rPr>
          <t>The cost of drilling a replacement well may be difficult to assess since the replacement is likely to take place many years after initial commercial operation.
The input placed in this cell must be in nominal dollars -- reflecting the expected cost in the year replaced. Funds sufficient to pay for these new wells are then reserved through operations in equal amounts until the year in which the replacement occurs.
Note: This model assumes that one-half of future capital expenditures will be depreciated on 5-yr MACRS basis, while the other half will be expensed in the year incurred.
Input must not be less than zero.</t>
        </r>
      </text>
    </comment>
    <comment ref="I43" authorId="1" shapeId="0" xr:uid="{00000000-0006-0000-0100-000046000000}">
      <text>
        <r>
          <rPr>
            <b/>
            <sz val="14"/>
            <color indexed="81"/>
            <rFont val="Tahoma"/>
            <family val="2"/>
          </rPr>
          <t>Note:</t>
        </r>
        <r>
          <rPr>
            <sz val="14"/>
            <color indexed="81"/>
            <rFont val="Tahoma"/>
            <family val="2"/>
          </rPr>
          <t xml:space="preserve">
The target after-tax equity IRR is the equity investor's cost of capital -- or "discount rate" -- and is the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
        </r>
      </text>
    </comment>
    <comment ref="S43" authorId="1" shapeId="0" xr:uid="{00000000-0006-0000-0100-000047000000}">
      <text>
        <r>
          <rPr>
            <b/>
            <sz val="14"/>
            <color indexed="81"/>
            <rFont val="Tahoma"/>
            <family val="2"/>
          </rPr>
          <t>Note:</t>
        </r>
        <r>
          <rPr>
            <sz val="14"/>
            <color indexed="81"/>
            <rFont val="Tahoma"/>
            <family val="2"/>
          </rPr>
          <t xml:space="preserve">
As geothermal resources lose thermal potential over time, replacement wells may be drilled to boost the project's thermal resource and production. This input refers to the increase in thermal potential from the first set of replacement wells drilled for the project. The input is quantified as a % of the initial total thermal resource. For example, a project with an intial thermal resource potential of 50 MW may drill repacement wells that add 10% of its intiial resource, which would translate to a 5 MW boost in available capacity.
Enter 0% if no replacement wells are planned.</t>
        </r>
        <r>
          <rPr>
            <u/>
            <sz val="14"/>
            <color indexed="81"/>
            <rFont val="Tahoma"/>
            <family val="2"/>
          </rPr>
          <t xml:space="preserve">
</t>
        </r>
        <r>
          <rPr>
            <sz val="14"/>
            <color indexed="81"/>
            <rFont val="Tahoma"/>
            <family val="2"/>
          </rPr>
          <t xml:space="preserve">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t>
        </r>
        <r>
          <rPr>
            <u/>
            <sz val="14"/>
            <color indexed="81"/>
            <rFont val="Tahoma"/>
            <family val="2"/>
          </rPr>
          <t xml:space="preserve">
</t>
        </r>
      </text>
    </comment>
    <comment ref="I44" authorId="0" shapeId="0" xr:uid="{00000000-0006-0000-0100-000048000000}">
      <text>
        <r>
          <rPr>
            <b/>
            <sz val="14"/>
            <color indexed="81"/>
            <rFont val="Tahoma"/>
            <family val="2"/>
          </rPr>
          <t>Note:</t>
        </r>
        <r>
          <rPr>
            <sz val="14"/>
            <color indexed="81"/>
            <rFont val="Tahoma"/>
            <family val="2"/>
          </rPr>
          <t xml:space="preserve">
The weighted average cost of equity and debt capital, if applicable, that applies to this specific stage of development.</t>
        </r>
      </text>
    </comment>
    <comment ref="S44" authorId="0" shapeId="0" xr:uid="{00000000-0006-0000-0100-000049000000}">
      <text>
        <r>
          <rPr>
            <b/>
            <sz val="14"/>
            <color indexed="81"/>
            <rFont val="Tahoma"/>
            <family val="2"/>
          </rPr>
          <t>Note:</t>
        </r>
        <r>
          <rPr>
            <sz val="14"/>
            <color indexed="81"/>
            <rFont val="Tahoma"/>
            <family val="2"/>
          </rPr>
          <t xml:space="preserve">
For geothermal projects, the most significant capital expenditure expected during operations is the need to drill one or more replacement wells.  These input cells allow for assumptions regarding up to two phases of replacement wells over a project's useful life.  
Caution: Modelers should take into account the contract duration and the project's useful life when considering whether to assume one or two sets of replacement wells. 
This input should be greater than zero and less than the Project Useful Life.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
</t>
        </r>
      </text>
    </comment>
    <comment ref="I45" authorId="1" shapeId="0" xr:uid="{00000000-0006-0000-0100-00004A000000}">
      <text>
        <r>
          <rPr>
            <b/>
            <sz val="14"/>
            <color indexed="81"/>
            <rFont val="Tahoma"/>
            <family val="2"/>
          </rPr>
          <t>Note:</t>
        </r>
        <r>
          <rPr>
            <sz val="14"/>
            <color indexed="81"/>
            <rFont val="Tahoma"/>
            <family val="2"/>
          </rPr>
          <t xml:space="preserve">
Calculation of total confirmation costs. This figure includes the estimated time-value of capital during the confirmation stage, and assumes a draw-down schedule such that the total confirmation cost is outstanding for approximately one-half of the duration of the phase.</t>
        </r>
      </text>
    </comment>
    <comment ref="S45" authorId="0" shapeId="0" xr:uid="{00000000-0006-0000-0100-00004B000000}">
      <text>
        <r>
          <rPr>
            <b/>
            <sz val="14"/>
            <color indexed="81"/>
            <rFont val="Tahoma"/>
            <family val="2"/>
          </rPr>
          <t>Note:</t>
        </r>
        <r>
          <rPr>
            <sz val="14"/>
            <color indexed="81"/>
            <rFont val="Tahoma"/>
            <family val="2"/>
          </rPr>
          <t xml:space="preserve">
This input specifies the number of replacement wells drilled during the applicable year.
</t>
        </r>
        <r>
          <rPr>
            <b/>
            <sz val="14"/>
            <color indexed="81"/>
            <rFont val="Tahoma"/>
            <family val="2"/>
          </rPr>
          <t xml:space="preserve">
</t>
        </r>
        <r>
          <rPr>
            <sz val="14"/>
            <color indexed="81"/>
            <rFont val="Tahoma"/>
            <family val="2"/>
          </rPr>
          <t xml:space="preserve">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t>
        </r>
      </text>
    </comment>
    <comment ref="I46" authorId="0" shapeId="0" xr:uid="{00000000-0006-0000-0100-00004C000000}">
      <text>
        <r>
          <rPr>
            <b/>
            <sz val="14"/>
            <color indexed="81"/>
            <rFont val="Tahoma"/>
            <family val="2"/>
          </rPr>
          <t>Note:</t>
        </r>
        <r>
          <rPr>
            <sz val="14"/>
            <color indexed="81"/>
            <rFont val="Tahoma"/>
            <family val="2"/>
          </rPr>
          <t xml:space="preserve">
Links the user to the Complex Inputs tab.</t>
        </r>
      </text>
    </comment>
    <comment ref="S46" authorId="0" shapeId="0" xr:uid="{00000000-0006-0000-0100-00004D000000}">
      <text>
        <r>
          <rPr>
            <b/>
            <sz val="14"/>
            <color indexed="81"/>
            <rFont val="Tahoma"/>
            <family val="2"/>
          </rPr>
          <t xml:space="preserve">Note:
</t>
        </r>
        <r>
          <rPr>
            <sz val="14"/>
            <color indexed="81"/>
            <rFont val="Tahoma"/>
            <family val="2"/>
          </rPr>
          <t>The cost of drilling a replacement well may be difficult to assess since the replacement is likely to take place many years after initial commercial operation.
The input placed in this cell must be in nominal dollars -- reflecting the expected cost in the year replaced. Funds sufficient to pay for these new wells are then reserved through operations in equal amounts until the year in which the replacement occurs.
Note: This model assumes that one-half of future capital expenditures will be depreciated on 5-yr MACRS basis, while the other half will be expensed in the year incurred.
Input must not be less than zero.</t>
        </r>
      </text>
    </comment>
    <comment ref="I47" authorId="1" shapeId="0" xr:uid="{00000000-0006-0000-0100-00004E000000}">
      <text>
        <r>
          <rPr>
            <b/>
            <sz val="14"/>
            <color indexed="81"/>
            <rFont val="Tahoma"/>
            <family val="2"/>
          </rPr>
          <t>Note:</t>
        </r>
        <r>
          <rPr>
            <sz val="14"/>
            <color indexed="81"/>
            <rFont val="Tahoma"/>
            <family val="2"/>
          </rPr>
          <t xml:space="preserve">
Calculation of total confirmation costs. This figure includes the estimated time-value of capital during the confirmation stage, and assumes a draw-down schedule such that the total confirmation cost is outstanding for approximately one-half of the duration of the phase.</t>
        </r>
      </text>
    </comment>
    <comment ref="S47" authorId="1" shapeId="0" xr:uid="{00000000-0006-0000-0100-00004F000000}">
      <text>
        <r>
          <rPr>
            <b/>
            <sz val="14"/>
            <color indexed="81"/>
            <rFont val="Tahoma"/>
            <family val="2"/>
          </rPr>
          <t>Note:</t>
        </r>
        <r>
          <rPr>
            <sz val="14"/>
            <color indexed="81"/>
            <rFont val="Tahoma"/>
            <family val="2"/>
          </rPr>
          <t xml:space="preserve">
As geothermal resources lose thermal potential over time, replacement wells may be drilled to boost the project's thermal resource and production. This input refers to the increase in thermal potential from the second set of replacement wells drilled for the project. The input is quantified as a % of the initial total thermal resource. For example, a project with an intial thermal resource potential of 50 MW may drill repacement wells that add 10% of its intiial resource, which would translate to a 5 MW boost in available capacity.
Enter 0% if no replacement wells are planned.
Please refer to the explanation of </t>
        </r>
        <r>
          <rPr>
            <b/>
            <sz val="14"/>
            <color indexed="81"/>
            <rFont val="Tahoma"/>
            <family val="2"/>
          </rPr>
          <t>"Geothermal-Specific Project Performance Inputs"</t>
        </r>
        <r>
          <rPr>
            <sz val="14"/>
            <color indexed="81"/>
            <rFont val="Tahoma"/>
            <family val="2"/>
          </rPr>
          <t xml:space="preserve"> in the User Manual for a more detailed description of the purpose and application of these production-related inputs.</t>
        </r>
      </text>
    </comment>
    <comment ref="I49" authorId="1" shapeId="0" xr:uid="{00000000-0006-0000-0100-000050000000}">
      <text>
        <r>
          <rPr>
            <b/>
            <sz val="14"/>
            <color indexed="81"/>
            <rFont val="Tahoma"/>
            <family val="2"/>
          </rPr>
          <t>Note:</t>
        </r>
        <r>
          <rPr>
            <sz val="14"/>
            <color indexed="81"/>
            <rFont val="Tahoma"/>
            <family val="2"/>
          </rPr>
          <t xml:space="preserve">
This figure includes the accruing return on equity requirement for the period from completion of exploration until permanent financing/commercial operation.</t>
        </r>
      </text>
    </comment>
    <comment ref="P49" authorId="0" shapeId="0" xr:uid="{00000000-0006-0000-0100-000051000000}">
      <text>
        <r>
          <rPr>
            <b/>
            <sz val="8"/>
            <color indexed="81"/>
            <rFont val="Tahoma"/>
            <family val="2"/>
          </rPr>
          <t>See "unit" definitions at the bottom of this worksheet.</t>
        </r>
        <r>
          <rPr>
            <sz val="8"/>
            <color indexed="81"/>
            <rFont val="Tahoma"/>
            <family val="2"/>
          </rPr>
          <t xml:space="preserve">
</t>
        </r>
      </text>
    </comment>
    <comment ref="F51" authorId="0" shapeId="0" xr:uid="{00000000-0006-0000-0100-000052000000}">
      <text>
        <r>
          <rPr>
            <b/>
            <sz val="8"/>
            <color indexed="81"/>
            <rFont val="Tahoma"/>
            <family val="2"/>
          </rPr>
          <t>See "unit" definitions at the bottom of this worksheet.</t>
        </r>
        <r>
          <rPr>
            <sz val="8"/>
            <color indexed="81"/>
            <rFont val="Tahoma"/>
            <family val="2"/>
          </rPr>
          <t xml:space="preserve">
</t>
        </r>
      </text>
    </comment>
    <comment ref="I51" authorId="0" shapeId="0" xr:uid="{00000000-0006-0000-0100-000053000000}">
      <text>
        <r>
          <rPr>
            <b/>
            <sz val="14"/>
            <color indexed="81"/>
            <rFont val="Tahoma"/>
            <family val="2"/>
          </rPr>
          <t xml:space="preserve">Note:
</t>
        </r>
        <r>
          <rPr>
            <sz val="14"/>
            <color indexed="81"/>
            <rFont val="Tahoma"/>
            <family val="2"/>
          </rPr>
          <t xml:space="preserve">In the "Simple" Case, Confirmation Costs are assumed to comprise 15% of non-exploration project costs while well field and power plant costs are assumed to comprise the remaining 85%, including the completion of project drilling.
</t>
        </r>
      </text>
    </comment>
    <comment ref="S51" authorId="1" shapeId="0" xr:uid="{00000000-0006-0000-0100-00005400000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52" authorId="1" shapeId="0" xr:uid="{00000000-0006-0000-0100-000055000000}">
      <text>
        <r>
          <rPr>
            <b/>
            <sz val="14"/>
            <color indexed="81"/>
            <rFont val="Tahoma"/>
            <family val="2"/>
          </rPr>
          <t>Note:</t>
        </r>
        <r>
          <rPr>
            <sz val="14"/>
            <color indexed="81"/>
            <rFont val="Tahoma"/>
            <family val="2"/>
          </rPr>
          <t xml:space="preserve">
This input expresses the number of years over which well field and power plant construction take place.</t>
        </r>
        <r>
          <rPr>
            <u/>
            <sz val="14"/>
            <color indexed="81"/>
            <rFont val="Tahoma"/>
            <family val="2"/>
          </rPr>
          <t xml:space="preserve">
</t>
        </r>
      </text>
    </comment>
    <comment ref="S52" authorId="0" shapeId="0" xr:uid="{00000000-0006-0000-0100-00005600000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3" authorId="1" shapeId="0" xr:uid="{00000000-0006-0000-0100-000057000000}">
      <text>
        <r>
          <rPr>
            <b/>
            <sz val="14"/>
            <color indexed="81"/>
            <rFont val="Tahoma"/>
            <family val="2"/>
          </rPr>
          <t>Note:</t>
        </r>
        <r>
          <rPr>
            <sz val="14"/>
            <color indexed="81"/>
            <rFont val="Tahoma"/>
            <family val="2"/>
          </rPr>
          <t xml:space="preserve">
Unlike exploration and confirmation - which are assumed to be funded 100% by equity -- the well field and power plant construction phase is likely to be financed at least partially with debt.  
This input states the portion of the construction phase finaced with debt.  Construction equity and debt are replaced with permanent financing at the time of commercial operations.</t>
        </r>
        <r>
          <rPr>
            <u/>
            <sz val="14"/>
            <color indexed="81"/>
            <rFont val="Tahoma"/>
            <family val="2"/>
          </rPr>
          <t xml:space="preserve">
</t>
        </r>
      </text>
    </comment>
    <comment ref="I54" authorId="0" shapeId="0" xr:uid="{00000000-0006-0000-0100-000058000000}">
      <text>
        <r>
          <rPr>
            <b/>
            <sz val="14"/>
            <color indexed="81"/>
            <rFont val="Tahoma"/>
            <family val="2"/>
          </rPr>
          <t xml:space="preserve">Note:
</t>
        </r>
        <r>
          <rPr>
            <sz val="14"/>
            <color indexed="81"/>
            <rFont val="Tahoma"/>
            <family val="2"/>
          </rPr>
          <t>The annual interest rate on construction debt. This input cannot be less than zero.
Again, this rate applies solely to the assumed loan taken specifically for the construction of the power plant and associated project-specific infrastructure.</t>
        </r>
      </text>
    </comment>
    <comment ref="P54" authorId="0" shapeId="0" xr:uid="{00000000-0006-0000-0100-000059000000}">
      <text>
        <r>
          <rPr>
            <b/>
            <sz val="8"/>
            <color indexed="81"/>
            <rFont val="Tahoma"/>
            <family val="2"/>
          </rPr>
          <t>See "unit" definitions at the bottom of this worksheet.</t>
        </r>
        <r>
          <rPr>
            <sz val="8"/>
            <color indexed="81"/>
            <rFont val="Tahoma"/>
            <family val="2"/>
          </rPr>
          <t xml:space="preserve">
</t>
        </r>
      </text>
    </comment>
    <comment ref="I55" authorId="1" shapeId="0" xr:uid="{00000000-0006-0000-0100-00005A000000}">
      <text>
        <r>
          <rPr>
            <b/>
            <sz val="14"/>
            <color indexed="81"/>
            <rFont val="Tahoma"/>
            <family val="2"/>
          </rPr>
          <t>Note:</t>
        </r>
        <r>
          <rPr>
            <sz val="14"/>
            <color indexed="81"/>
            <rFont val="Tahoma"/>
            <family val="2"/>
          </rPr>
          <t xml:space="preserve">
Unlike exploration and confirmation - which are assumed to be funded 100% by equity -- the well field and power plant construction phase is likely to be financed with both equity and debt.  
This input states the portion of the construction phase finaced with equity.  Construction equity and debt are replaced with permanent financing at the time of commercial operations.</t>
        </r>
        <r>
          <rPr>
            <u/>
            <sz val="14"/>
            <color indexed="81"/>
            <rFont val="Tahoma"/>
            <family val="2"/>
          </rPr>
          <t xml:space="preserve">
</t>
        </r>
      </text>
    </comment>
    <comment ref="S55" authorId="0" shapeId="0" xr:uid="{00000000-0006-0000-0100-00005B00000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I56" authorId="1" shapeId="0" xr:uid="{00000000-0006-0000-0100-00005C000000}">
      <text>
        <r>
          <rPr>
            <b/>
            <sz val="14"/>
            <color indexed="81"/>
            <rFont val="Tahoma"/>
            <family val="2"/>
          </rPr>
          <t>Note:</t>
        </r>
        <r>
          <rPr>
            <sz val="14"/>
            <color indexed="81"/>
            <rFont val="Tahoma"/>
            <family val="2"/>
          </rPr>
          <t xml:space="preserve">
The target after-tax equity IRR is the equity investor's cost of capital -- or "discount rate" -- and is the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
        </r>
      </text>
    </comment>
    <comment ref="S56" authorId="1" shapeId="0" xr:uid="{00000000-0006-0000-0100-00005D000000}">
      <text>
        <r>
          <rPr>
            <b/>
            <sz val="14"/>
            <color indexed="81"/>
            <rFont val="Tahoma"/>
            <family val="2"/>
          </rPr>
          <t xml:space="preserve">Note:
</t>
        </r>
        <r>
          <rPr>
            <sz val="14"/>
            <color indexed="81"/>
            <rFont val="Tahoma"/>
            <family val="2"/>
          </rPr>
          <t>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t>
        </r>
        <r>
          <rPr>
            <b/>
            <sz val="14"/>
            <color indexed="81"/>
            <rFont val="Tahoma"/>
            <family val="2"/>
          </rPr>
          <t xml:space="preserve">
</t>
        </r>
        <r>
          <rPr>
            <sz val="14"/>
            <color indexed="81"/>
            <rFont val="Tahoma"/>
            <family val="2"/>
          </rPr>
          <t xml:space="preserve">
*See bottom of introduction page for a list of links
</t>
        </r>
      </text>
    </comment>
    <comment ref="I57" authorId="0" shapeId="0" xr:uid="{00000000-0006-0000-0100-00005E000000}">
      <text>
        <r>
          <rPr>
            <b/>
            <sz val="14"/>
            <color indexed="81"/>
            <rFont val="Tahoma"/>
            <family val="2"/>
          </rPr>
          <t>Note:</t>
        </r>
        <r>
          <rPr>
            <sz val="14"/>
            <color indexed="81"/>
            <rFont val="Tahoma"/>
            <family val="2"/>
          </rPr>
          <t xml:space="preserve">
The weighted average cost of equity and debt capital, if applicable, that applies to this specific stage of development.</t>
        </r>
      </text>
    </comment>
    <comment ref="S57" authorId="0" shapeId="0" xr:uid="{00000000-0006-0000-0100-00005F00000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
Should geothermal's eligibility for the 30% ITC expire, this input allows the user to select the historic 10% ITC instead.</t>
        </r>
        <r>
          <rPr>
            <sz val="8"/>
            <color indexed="81"/>
            <rFont val="Tahoma"/>
            <family val="2"/>
          </rPr>
          <t xml:space="preserve">
</t>
        </r>
      </text>
    </comment>
    <comment ref="I59" authorId="1" shapeId="0" xr:uid="{00000000-0006-0000-0100-000060000000}">
      <text>
        <r>
          <rPr>
            <b/>
            <sz val="14"/>
            <color indexed="81"/>
            <rFont val="Tahoma"/>
            <family val="2"/>
          </rPr>
          <t>Note:</t>
        </r>
        <r>
          <rPr>
            <sz val="14"/>
            <color indexed="81"/>
            <rFont val="Tahoma"/>
            <family val="2"/>
          </rPr>
          <t xml:space="preserve">
Total number of production wells drilled in addition to the successful confirmation wells that can be used as production wells.  </t>
        </r>
        <r>
          <rPr>
            <u/>
            <sz val="14"/>
            <color indexed="81"/>
            <rFont val="Tahoma"/>
            <family val="2"/>
          </rPr>
          <t xml:space="preserve">
</t>
        </r>
        <r>
          <rPr>
            <sz val="14"/>
            <color indexed="81"/>
            <rFont val="Tahoma"/>
            <family val="2"/>
          </rPr>
          <t xml:space="preserve">
</t>
        </r>
      </text>
    </comment>
    <comment ref="S59" authorId="0" shapeId="0" xr:uid="{00000000-0006-0000-0100-00006100000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60" authorId="1" shapeId="0" xr:uid="{00000000-0006-0000-0100-000062000000}">
      <text>
        <r>
          <rPr>
            <b/>
            <sz val="14"/>
            <color indexed="81"/>
            <rFont val="Tahoma"/>
            <family val="2"/>
          </rPr>
          <t>Note:</t>
        </r>
        <r>
          <rPr>
            <sz val="14"/>
            <color indexed="81"/>
            <rFont val="Tahoma"/>
            <family val="2"/>
          </rPr>
          <t xml:space="preserve">
This field represents the number of injection wells per production well. For example, if a project requires one injection well per production well, the ratio would be 1. Two injection wells for every 4 production wells would be 0.5.</t>
        </r>
        <r>
          <rPr>
            <u/>
            <sz val="14"/>
            <color indexed="81"/>
            <rFont val="Tahoma"/>
            <family val="2"/>
          </rPr>
          <t xml:space="preserve">
</t>
        </r>
      </text>
    </comment>
    <comment ref="S60" authorId="0" shapeId="0" xr:uid="{00000000-0006-0000-0100-000063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61" authorId="1" shapeId="0" xr:uid="{00000000-0006-0000-0100-000064000000}">
      <text>
        <r>
          <rPr>
            <b/>
            <sz val="14"/>
            <color indexed="81"/>
            <rFont val="Tahoma"/>
            <family val="2"/>
          </rPr>
          <t>Note:</t>
        </r>
        <r>
          <rPr>
            <sz val="14"/>
            <color indexed="81"/>
            <rFont val="Tahoma"/>
            <family val="2"/>
          </rPr>
          <t xml:space="preserve">
The cost of each production well, including drilling, site prep, and anything else that is part of the confirmation process and calculated on a per well basis.</t>
        </r>
      </text>
    </comment>
    <comment ref="S61" authorId="0" shapeId="0" xr:uid="{00000000-0006-0000-0100-000065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62" authorId="1" shapeId="0" xr:uid="{00000000-0006-0000-0100-000066000000}">
      <text>
        <r>
          <rPr>
            <b/>
            <sz val="14"/>
            <color indexed="81"/>
            <rFont val="Tahoma"/>
            <family val="2"/>
          </rPr>
          <t>Note:</t>
        </r>
        <r>
          <rPr>
            <sz val="14"/>
            <color indexed="81"/>
            <rFont val="Tahoma"/>
            <family val="2"/>
          </rPr>
          <t xml:space="preserve">
The cost of each production well, including drilling, site prep, and anything else that is part of the confirmation process and calculated on a per well basis.</t>
        </r>
      </text>
    </comment>
    <comment ref="I63" authorId="1" shapeId="0" xr:uid="{00000000-0006-0000-0100-000067000000}">
      <text>
        <r>
          <rPr>
            <b/>
            <sz val="14"/>
            <color indexed="81"/>
            <rFont val="Tahoma"/>
            <family val="2"/>
          </rPr>
          <t>Note:</t>
        </r>
        <r>
          <rPr>
            <sz val="14"/>
            <color indexed="81"/>
            <rFont val="Tahoma"/>
            <family val="2"/>
          </rPr>
          <t xml:space="preserve">
Non-well costs that apply to the wellfield and drililng costs, are not calculated on a per well basis, and are not included in the confirmation phase.</t>
        </r>
      </text>
    </comment>
    <comment ref="S63" authorId="0" shapeId="0" xr:uid="{00000000-0006-0000-0100-000068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64" authorId="1" shapeId="0" xr:uid="{00000000-0006-0000-0100-000069000000}">
      <text>
        <r>
          <rPr>
            <b/>
            <sz val="14"/>
            <color indexed="81"/>
            <rFont val="Tahoma"/>
            <family val="2"/>
          </rPr>
          <t>Note:</t>
        </r>
        <r>
          <rPr>
            <sz val="14"/>
            <color indexed="81"/>
            <rFont val="Tahoma"/>
            <family val="2"/>
          </rPr>
          <t xml:space="preserve">
Calculation of total wellfield and drilling costs including production and injection wells, but excluding the confirmation phase.  
COD = Commercial Operation Date
</t>
        </r>
      </text>
    </comment>
    <comment ref="S64" authorId="0" shapeId="0" xr:uid="{00000000-0006-0000-0100-00006A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I65" authorId="1" shapeId="0" xr:uid="{00000000-0006-0000-0100-00006B000000}">
      <text>
        <r>
          <rPr>
            <b/>
            <sz val="14"/>
            <color indexed="81"/>
            <rFont val="Tahoma"/>
            <family val="2"/>
          </rPr>
          <t>Note:</t>
        </r>
        <r>
          <rPr>
            <sz val="14"/>
            <color indexed="81"/>
            <rFont val="Tahoma"/>
            <family val="2"/>
          </rPr>
          <t xml:space="preserve">
"Power Plant" should include all hardware, such as boilers and steam turbines. 
Caution: the model assumes that if "Intermediate" is selected as the level of detail section, the "Generation Equipment" row must have a value greater than zero. 
</t>
        </r>
      </text>
    </comment>
    <comment ref="S65" authorId="1" shapeId="0" xr:uid="{00000000-0006-0000-0100-00006C00000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66" authorId="1" shapeId="0" xr:uid="{00000000-0006-0000-0100-00006D000000}">
      <text>
        <r>
          <rPr>
            <b/>
            <sz val="14"/>
            <color indexed="81"/>
            <rFont val="Tahoma"/>
            <family val="2"/>
          </rPr>
          <t>Note:</t>
        </r>
        <r>
          <rPr>
            <sz val="14"/>
            <color indexed="81"/>
            <rFont val="Tahoma"/>
            <family val="2"/>
          </rPr>
          <t xml:space="preserve">
This calculation is provided as a reference point and is based solely on the power plant cost, and NOT the total system cost. </t>
        </r>
        <r>
          <rPr>
            <sz val="8"/>
            <color indexed="81"/>
            <rFont val="Tahoma"/>
            <family val="2"/>
          </rPr>
          <t xml:space="preserve">
</t>
        </r>
      </text>
    </comment>
    <comment ref="S66" authorId="0" shapeId="0" xr:uid="{00000000-0006-0000-0100-00006E00000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67" authorId="1" shapeId="0" xr:uid="{00000000-0006-0000-0100-00006F00000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68" authorId="1" shapeId="0" xr:uid="{00000000-0006-0000-0100-0000700000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P68" authorId="0" shapeId="0" xr:uid="{00000000-0006-0000-0100-000071000000}">
      <text>
        <r>
          <rPr>
            <b/>
            <sz val="8"/>
            <color indexed="81"/>
            <rFont val="Tahoma"/>
            <family val="2"/>
          </rPr>
          <t>See "unit" definitions at the bottom of this worksheet.</t>
        </r>
        <r>
          <rPr>
            <sz val="8"/>
            <color indexed="81"/>
            <rFont val="Tahoma"/>
            <family val="2"/>
          </rPr>
          <t xml:space="preserve">
</t>
        </r>
      </text>
    </comment>
    <comment ref="I69" authorId="1" shapeId="0" xr:uid="{00000000-0006-0000-0100-00007200000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69" authorId="1" shapeId="0" xr:uid="{00000000-0006-0000-0100-000073000000}">
      <text>
        <r>
          <rPr>
            <b/>
            <sz val="14"/>
            <color indexed="81"/>
            <rFont val="Tahoma"/>
            <family val="2"/>
          </rPr>
          <t xml:space="preserve">Note:
</t>
        </r>
        <r>
          <rPr>
            <sz val="14"/>
            <color indexed="81"/>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S70" authorId="0" shapeId="0" xr:uid="{00000000-0006-0000-0100-00007400000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Note that the state investment tax credit can only be applied to state-specific income tax liability.</t>
        </r>
      </text>
    </comment>
    <comment ref="I71" authorId="1" shapeId="0" xr:uid="{00000000-0006-0000-0100-000075000000}">
      <text>
        <r>
          <rPr>
            <b/>
            <sz val="14"/>
            <color indexed="81"/>
            <rFont val="Tahoma"/>
            <family val="2"/>
          </rPr>
          <t>Note:</t>
        </r>
        <r>
          <rPr>
            <sz val="14"/>
            <color indexed="81"/>
            <rFont val="Tahoma"/>
            <family val="2"/>
          </rPr>
          <t xml:space="preserve">
Total Well Field &amp; Power Plant Costs have been estimated to be between $2400/kW and $5,000/kW in recent third-party public reports.
COD = Commercial Operation Date</t>
        </r>
      </text>
    </comment>
    <comment ref="S72" authorId="0" shapeId="0" xr:uid="{00000000-0006-0000-0100-00007600000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73" authorId="0" shapeId="0" xr:uid="{00000000-0006-0000-0100-00007700000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F74" authorId="0" shapeId="0" xr:uid="{00000000-0006-0000-0100-000078000000}">
      <text>
        <r>
          <rPr>
            <b/>
            <sz val="8"/>
            <color indexed="81"/>
            <rFont val="Tahoma"/>
            <family val="2"/>
          </rPr>
          <t>See "unit" definitions at the bottom of this worksheet.</t>
        </r>
        <r>
          <rPr>
            <sz val="8"/>
            <color indexed="81"/>
            <rFont val="Tahoma"/>
            <family val="2"/>
          </rPr>
          <t xml:space="preserve">
</t>
        </r>
      </text>
    </comment>
    <comment ref="S74" authorId="0" shapeId="0" xr:uid="{00000000-0006-0000-0100-000079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75" authorId="1" shapeId="0" xr:uid="{00000000-0006-0000-0100-00007A000000}">
      <text>
        <r>
          <rPr>
            <b/>
            <sz val="14"/>
            <color indexed="81"/>
            <rFont val="Tahoma"/>
            <family val="2"/>
          </rPr>
          <t>Note:</t>
        </r>
        <r>
          <rPr>
            <sz val="14"/>
            <color indexed="81"/>
            <rFont val="Tahoma"/>
            <family val="2"/>
          </rPr>
          <t xml:space="preserve">
The total system cost is a calculation, based on the level of detail selected and the assocated inputs.
In the "Simple" Case, Confirmation Costs are assumed to comprise 15% of non-exploration project costs while well field and power plant costs are assumed to comprise the remaining 85%.</t>
        </r>
      </text>
    </comment>
    <comment ref="S75" authorId="0" shapeId="0" xr:uid="{00000000-0006-0000-0100-00007B000000}">
      <text>
        <r>
          <rPr>
            <b/>
            <sz val="14"/>
            <color indexed="81"/>
            <rFont val="Tahoma"/>
            <family val="2"/>
          </rPr>
          <t xml:space="preserve">Note:
</t>
        </r>
        <r>
          <rPr>
            <sz val="14"/>
            <color indexed="81"/>
            <rFont val="Tahoma"/>
            <family val="2"/>
          </rPr>
          <t xml:space="preserve">Enter here the annual dollar value ("cap") of any state-specific production incentive.
</t>
        </r>
        <r>
          <rPr>
            <b/>
            <sz val="16"/>
            <color indexed="81"/>
            <rFont val="Tahoma"/>
            <family val="2"/>
          </rPr>
          <t>If no cap exists, enter zero.</t>
        </r>
        <r>
          <rPr>
            <sz val="14"/>
            <color indexed="81"/>
            <rFont val="Tahoma"/>
            <family val="2"/>
          </rPr>
          <t xml:space="preserve">
Input cannot be less than zero.
</t>
        </r>
      </text>
    </comment>
    <comment ref="I76" authorId="1" shapeId="0" xr:uid="{00000000-0006-0000-0100-00007C000000}">
      <text>
        <r>
          <rPr>
            <b/>
            <sz val="14"/>
            <color indexed="81"/>
            <rFont val="Tahoma"/>
            <family val="2"/>
          </rPr>
          <t>Note:</t>
        </r>
        <r>
          <rPr>
            <sz val="14"/>
            <color indexed="81"/>
            <rFont val="Tahoma"/>
            <family val="2"/>
          </rPr>
          <t xml:space="preserve">
Calculation based on the total system cost in the cell above and the system size reported. </t>
        </r>
        <r>
          <rPr>
            <sz val="8"/>
            <color indexed="81"/>
            <rFont val="Tahoma"/>
            <family val="2"/>
          </rPr>
          <t xml:space="preserve">
</t>
        </r>
      </text>
    </comment>
    <comment ref="S76" authorId="0" shapeId="0" xr:uid="{00000000-0006-0000-0100-00007D000000}">
      <text>
        <r>
          <rPr>
            <b/>
            <sz val="14"/>
            <color indexed="81"/>
            <rFont val="Tahoma"/>
            <family val="2"/>
          </rPr>
          <t xml:space="preserve">Note:
</t>
        </r>
        <r>
          <rPr>
            <sz val="14"/>
            <color indexed="81"/>
            <rFont val="Tahoma"/>
            <family val="2"/>
          </rPr>
          <t xml:space="preserve">Impacts tax treatment of PBI if owner is a taxable entity.
</t>
        </r>
      </text>
    </comment>
    <comment ref="S77" authorId="0" shapeId="0" xr:uid="{00000000-0006-0000-0100-00007E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F78" authorId="0" shapeId="0" xr:uid="{00000000-0006-0000-0100-00007F000000}">
      <text>
        <r>
          <rPr>
            <b/>
            <sz val="8"/>
            <color indexed="81"/>
            <rFont val="Tahoma"/>
            <family val="2"/>
          </rPr>
          <t>See "unit" definitions at the bottom of this worksheet.</t>
        </r>
        <r>
          <rPr>
            <sz val="8"/>
            <color indexed="81"/>
            <rFont val="Tahoma"/>
            <family val="2"/>
          </rPr>
          <t xml:space="preserve">
</t>
        </r>
      </text>
    </comment>
    <comment ref="I79" authorId="0" shapeId="0" xr:uid="{00000000-0006-0000-0100-00008000000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S79" authorId="0" shapeId="0" xr:uid="{00000000-0006-0000-0100-000081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80" authorId="1" shapeId="0" xr:uid="{00000000-0006-0000-0100-00008200000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80" authorId="0" shapeId="0" xr:uid="{00000000-0006-0000-0100-000083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I81" authorId="1" shapeId="0" xr:uid="{00000000-0006-0000-0100-00008400000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81" authorId="0" shapeId="0" xr:uid="{00000000-0006-0000-0100-000085000000}">
      <text>
        <r>
          <rPr>
            <b/>
            <sz val="14"/>
            <color indexed="81"/>
            <rFont val="Tahoma"/>
            <family val="2"/>
          </rPr>
          <t xml:space="preserve">Note:
</t>
        </r>
        <r>
          <rPr>
            <sz val="14"/>
            <color indexed="81"/>
            <rFont val="Tahoma"/>
            <family val="2"/>
          </rPr>
          <t xml:space="preserve">Include here the dollar per Watt value of any state-specific rebates or cash grants.
Input cannot be less than zero.
</t>
        </r>
      </text>
    </comment>
    <comment ref="I82" authorId="0" shapeId="0" xr:uid="{00000000-0006-0000-0100-000086000000}">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82" authorId="0" shapeId="0" xr:uid="{00000000-0006-0000-0100-000087000000}">
      <text>
        <r>
          <rPr>
            <b/>
            <sz val="14"/>
            <color indexed="81"/>
            <rFont val="Tahoma"/>
            <family val="2"/>
          </rPr>
          <t xml:space="preserve">Note:
</t>
        </r>
        <r>
          <rPr>
            <sz val="14"/>
            <color indexed="81"/>
            <rFont val="Tahoma"/>
            <family val="2"/>
          </rPr>
          <t xml:space="preserve">Enter here the maximum dollar value ("cap") of any state-specific rebate or grant.
If no cap exists, enter zero.
Input cannot be less than zero.
</t>
        </r>
      </text>
    </comment>
    <comment ref="I83" authorId="1" shapeId="0" xr:uid="{00000000-0006-0000-0100-000088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83" authorId="0" shapeId="0" xr:uid="{00000000-0006-0000-0100-00008900000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I84" authorId="0" shapeId="0" xr:uid="{00000000-0006-0000-0100-00008A000000}">
      <text>
        <r>
          <rPr>
            <b/>
            <sz val="12"/>
            <color indexed="81"/>
            <rFont val="Tahoma"/>
            <family val="2"/>
          </rPr>
          <t>Note:</t>
        </r>
        <r>
          <rPr>
            <sz val="12"/>
            <color indexed="81"/>
            <rFont val="Tahoma"/>
            <family val="2"/>
          </rPr>
          <t xml:space="preserve">
If "#N/A" appears, F9 should be pressed until the calculated COE achieves it's final value.</t>
        </r>
      </text>
    </comment>
    <comment ref="I85" authorId="1" shapeId="0" xr:uid="{00000000-0006-0000-0100-00008B00000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86" authorId="1" shapeId="0" xr:uid="{00000000-0006-0000-0100-00008C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86" authorId="0" shapeId="0" xr:uid="{00000000-0006-0000-0100-00008D00000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87" authorId="0" shapeId="0" xr:uid="{00000000-0006-0000-0100-00008E000000}">
      <text>
        <r>
          <rPr>
            <b/>
            <sz val="12"/>
            <color indexed="81"/>
            <rFont val="Tahoma"/>
            <family val="2"/>
          </rPr>
          <t>Note:</t>
        </r>
        <r>
          <rPr>
            <sz val="12"/>
            <color indexed="81"/>
            <rFont val="Tahoma"/>
            <family val="2"/>
          </rPr>
          <t xml:space="preserve">
If "#N/A" appears, F9 should be pressed until the calculated COE achieves it's final value.</t>
        </r>
      </text>
    </comment>
    <comment ref="S87" authorId="0" shapeId="0" xr:uid="{00000000-0006-0000-0100-00008F00000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88" authorId="1" shapeId="0" xr:uid="{00000000-0006-0000-0100-00009000000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89" authorId="0" shapeId="0" xr:uid="{00000000-0006-0000-0100-0000910000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I90" authorId="1" shapeId="0" xr:uid="{00000000-0006-0000-0100-000092000000}">
      <text>
        <r>
          <rPr>
            <b/>
            <sz val="14"/>
            <color indexed="81"/>
            <rFont val="Tahoma"/>
            <family val="2"/>
          </rPr>
          <t>Note:</t>
        </r>
        <r>
          <rPr>
            <sz val="14"/>
            <color indexed="81"/>
            <rFont val="Tahoma"/>
            <family val="2"/>
          </rPr>
          <t xml:space="preserve">
The target after-tax equity IRR is the equity investor's cost of capital -- or "discount rate" -- and is the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V90" authorId="0" shapeId="0" xr:uid="{00000000-0006-0000-0100-000093000000}">
      <text>
        <r>
          <rPr>
            <b/>
            <sz val="14"/>
            <color indexed="81"/>
            <rFont val="Tahoma"/>
            <family val="2"/>
          </rPr>
          <t>Note:</t>
        </r>
        <r>
          <rPr>
            <sz val="14"/>
            <color indexed="81"/>
            <rFont val="Tahoma"/>
            <family val="2"/>
          </rPr>
          <t xml:space="preserve">
The CREST model is programmed based on an understanding of the current federal tax code policy on depletion.  Project developers should consult a tax advisor for guidance on the use of depletion for geothermal power generating assets.</t>
        </r>
      </text>
    </comment>
    <comment ref="I91" authorId="0" shapeId="0" xr:uid="{00000000-0006-0000-0100-0000940000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Y91" authorId="0" shapeId="0" xr:uid="{00000000-0006-0000-0100-00009500000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I92" authorId="0" shapeId="0" xr:uid="{00000000-0006-0000-0100-00009600000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Y92" authorId="0" shapeId="0" xr:uid="{00000000-0006-0000-0100-000097000000}">
      <text>
        <r>
          <rPr>
            <b/>
            <sz val="14"/>
            <color indexed="81"/>
            <rFont val="Tahoma"/>
            <family val="2"/>
          </rPr>
          <t>Note:</t>
        </r>
        <r>
          <rPr>
            <sz val="14"/>
            <color indexed="81"/>
            <rFont val="Tahoma"/>
            <family val="2"/>
          </rPr>
          <t xml:space="preserve">
Exploration Costs are often incurred over an extended, multi-year period prior to commercial operations.  Many of these costs can only be expensed in the year in which they were incurred.  Only the percentage of total Exploration Costs eligible for expensing in the project's first commercial operation year should be entered in this row.  All other Exploration Costs should be treated at Non-Depreciable for the purpose of the CREST model.
When the "Intermediate" capital cost option is selected, the allocation of the specified cost category across the classifications is done using this row. The options associated with other levels of cost detail will be hidden.
</t>
        </r>
        <r>
          <rPr>
            <b/>
            <sz val="14"/>
            <color indexed="81"/>
            <rFont val="Tahoma"/>
            <family val="2"/>
          </rPr>
          <t xml:space="preserve">This row must sum to 100%.
</t>
        </r>
      </text>
    </comment>
    <comment ref="Y93" authorId="0" shapeId="0" xr:uid="{00000000-0006-0000-0100-000098000000}">
      <text>
        <r>
          <rPr>
            <b/>
            <sz val="14"/>
            <color indexed="81"/>
            <rFont val="Tahoma"/>
            <family val="2"/>
          </rPr>
          <t>Note:</t>
        </r>
        <r>
          <rPr>
            <sz val="14"/>
            <color indexed="81"/>
            <rFont val="Tahoma"/>
            <family val="2"/>
          </rPr>
          <t xml:space="preserve">
When the "Intermediate" capital cost option is selected, the allocation of the specified cost category across the classifications is done using this row. The options associated with other levels of cost detail will be hidden.
</t>
        </r>
        <r>
          <rPr>
            <b/>
            <sz val="14"/>
            <color indexed="81"/>
            <rFont val="Tahoma"/>
            <family val="2"/>
          </rPr>
          <t xml:space="preserve">This row must sum to 100%.
</t>
        </r>
      </text>
    </comment>
    <comment ref="F94" authorId="0" shapeId="0" xr:uid="{00000000-0006-0000-0100-000099000000}">
      <text>
        <r>
          <rPr>
            <b/>
            <sz val="8"/>
            <color indexed="81"/>
            <rFont val="Tahoma"/>
            <family val="2"/>
          </rPr>
          <t>See "unit" definitions at the bottom of this worksheet.</t>
        </r>
        <r>
          <rPr>
            <sz val="8"/>
            <color indexed="81"/>
            <rFont val="Tahoma"/>
            <family val="2"/>
          </rPr>
          <t xml:space="preserve">
</t>
        </r>
      </text>
    </comment>
    <comment ref="Y94" authorId="0" shapeId="0" xr:uid="{00000000-0006-0000-0100-00009A000000}">
      <text>
        <r>
          <rPr>
            <b/>
            <sz val="14"/>
            <color indexed="81"/>
            <rFont val="Tahoma"/>
            <family val="2"/>
          </rPr>
          <t>Note:</t>
        </r>
        <r>
          <rPr>
            <sz val="14"/>
            <color indexed="81"/>
            <rFont val="Tahoma"/>
            <family val="2"/>
          </rPr>
          <t xml:space="preserve">
When the "Intermediate" capital cost option is selected, the allocation of the specified cost category across the classifications is done using this row. The options associated with other levels of cost detail will be hidden.
</t>
        </r>
        <r>
          <rPr>
            <b/>
            <sz val="14"/>
            <color indexed="81"/>
            <rFont val="Tahoma"/>
            <family val="2"/>
          </rPr>
          <t xml:space="preserve">This row must sum to 100%.
</t>
        </r>
      </text>
    </comment>
    <comment ref="Y95" authorId="0" shapeId="0" xr:uid="{00000000-0006-0000-0100-00009B000000}">
      <text>
        <r>
          <rPr>
            <b/>
            <sz val="14"/>
            <color indexed="81"/>
            <rFont val="Tahoma"/>
            <family val="2"/>
          </rPr>
          <t>Note:</t>
        </r>
        <r>
          <rPr>
            <sz val="14"/>
            <color indexed="81"/>
            <rFont val="Tahoma"/>
            <family val="2"/>
          </rPr>
          <t xml:space="preserve">
When the "Intermediate" capital cost option is selected, the allocation of the specified cost category across the classifications is done using this row. The options associated with other levels of cost detail will be hidden.
</t>
        </r>
        <r>
          <rPr>
            <b/>
            <sz val="14"/>
            <color indexed="81"/>
            <rFont val="Tahoma"/>
            <family val="2"/>
          </rPr>
          <t xml:space="preserve">This row must sum to 100%.
</t>
        </r>
      </text>
    </comment>
    <comment ref="I96" authorId="0" shapeId="0" xr:uid="{00000000-0006-0000-0100-00009C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Y96" authorId="0" shapeId="0" xr:uid="{00000000-0006-0000-0100-00009D000000}">
      <text>
        <r>
          <rPr>
            <b/>
            <sz val="14"/>
            <color indexed="81"/>
            <rFont val="Tahoma"/>
            <family val="2"/>
          </rPr>
          <t>Note:</t>
        </r>
        <r>
          <rPr>
            <sz val="14"/>
            <color indexed="81"/>
            <rFont val="Tahoma"/>
            <family val="2"/>
          </rPr>
          <t xml:space="preserve">
When the "Intermediate" capital cost option is selected, the allocation of the specified cost category across the classifications is done using this row. The options associated with other levels of cost detail will be hidden.
</t>
        </r>
        <r>
          <rPr>
            <b/>
            <sz val="14"/>
            <color indexed="81"/>
            <rFont val="Tahoma"/>
            <family val="2"/>
          </rPr>
          <t xml:space="preserve">This row must sum to 100%.
</t>
        </r>
      </text>
    </comment>
    <comment ref="I97" authorId="0" shapeId="0" xr:uid="{00000000-0006-0000-0100-00009E00000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Y97" authorId="0" shapeId="0" xr:uid="{00000000-0006-0000-0100-00009F00000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 ref="I99" authorId="0" shapeId="0" xr:uid="{00000000-0006-0000-0100-0000A0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O99" authorId="0" shapeId="0" xr:uid="{00000000-0006-0000-0100-0000A1000000}">
      <text>
        <r>
          <rPr>
            <b/>
            <sz val="14"/>
            <color indexed="81"/>
            <rFont val="Tahoma"/>
            <family val="2"/>
          </rPr>
          <t xml:space="preserve">Note:
</t>
        </r>
        <r>
          <rPr>
            <sz val="14"/>
            <color indexed="81"/>
            <rFont val="Tahoma"/>
            <family val="2"/>
          </rPr>
          <t>The CREST model is programmed based on an understanding of the current federal tax code policy on depletion.  Project developers should consult a tax advisor for guidance on the use of depletion for geothermal power generating assets.</t>
        </r>
      </text>
    </comment>
    <comment ref="I100" authorId="0" shapeId="0" xr:uid="{00000000-0006-0000-0100-0000A20000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U100" authorId="0" shapeId="0" xr:uid="{00000000-0006-0000-0100-0000A3000000}">
      <text>
        <r>
          <rPr>
            <b/>
            <sz val="14"/>
            <color indexed="81"/>
            <rFont val="Tahoma"/>
            <family val="2"/>
          </rPr>
          <t xml:space="preserve">Note:
</t>
        </r>
        <r>
          <rPr>
            <sz val="14"/>
            <color indexed="81"/>
            <rFont val="Tahoma"/>
            <family val="2"/>
          </rPr>
          <t>The CREST model is programmed based on an understanding of the current federal tax code policy on depletion.  Project developers should consult a tax advisor for guidance on the use of depletion for geothermal power generating assets.</t>
        </r>
      </text>
    </comment>
    <comment ref="Y100" authorId="0" shapeId="0" xr:uid="{00000000-0006-0000-0100-0000A4000000}">
      <text>
        <r>
          <rPr>
            <b/>
            <sz val="14"/>
            <color indexed="81"/>
            <rFont val="Tahoma"/>
            <family val="2"/>
          </rPr>
          <t>Note:</t>
        </r>
        <r>
          <rPr>
            <sz val="14"/>
            <color indexed="81"/>
            <rFont val="Tahoma"/>
            <family val="2"/>
          </rPr>
          <t xml:space="preserve">
Depletion Allowance is a federal tax deduction for the exhaustion of oil and gas wells, mines, timber, mineral deposits or reserves, and other natural deposits -- such as geothermal steam.
There are two methods of Depletion -- Cost and Percentage.
Like depreciation, the Cost Method of depletion bases the deduction allowance on the original cost of the income-generating property. The CREST model assumes Cost Method depletion occurs evenly over the life of the project.  The Percentage Method allows the project to deduct a user-defined percentage of the portion of revenues attributable to steam (the depletable resource).  This calculation is capped at 50% of taxable income prior to figuring depletion.
</t>
        </r>
        <r>
          <rPr>
            <b/>
            <sz val="14"/>
            <color indexed="81"/>
            <rFont val="Tahoma"/>
            <family val="2"/>
          </rPr>
          <t xml:space="preserve">
</t>
        </r>
      </text>
    </comment>
    <comment ref="I101" authorId="0" shapeId="0" xr:uid="{00000000-0006-0000-0100-0000A5000000}">
      <text>
        <r>
          <rPr>
            <b/>
            <sz val="14"/>
            <color indexed="81"/>
            <rFont val="Tahoma"/>
            <family val="2"/>
          </rPr>
          <t>Note:</t>
        </r>
        <r>
          <rPr>
            <sz val="14"/>
            <color indexed="81"/>
            <rFont val="Tahoma"/>
            <family val="2"/>
          </rPr>
          <t xml:space="preserve">
Unused reserves earn interest at this rate. Input cannot be less than zero.
</t>
        </r>
      </text>
    </comment>
    <comment ref="O101" authorId="0" shapeId="0" xr:uid="{00000000-0006-0000-0100-0000A6000000}">
      <text>
        <r>
          <rPr>
            <b/>
            <sz val="14"/>
            <color indexed="81"/>
            <rFont val="Tahoma"/>
            <family val="2"/>
          </rPr>
          <t>Note:</t>
        </r>
        <r>
          <rPr>
            <sz val="14"/>
            <color indexed="81"/>
            <rFont val="Tahoma"/>
            <family val="2"/>
          </rPr>
          <t xml:space="preserve">
Steam is the depletable resource.  The balance of revenue is not directly attributable to the steam resource and is therefore not depletable. </t>
        </r>
      </text>
    </comment>
    <comment ref="U101" authorId="0" shapeId="0" xr:uid="{00000000-0006-0000-0100-0000A7000000}">
      <text>
        <r>
          <rPr>
            <b/>
            <sz val="14"/>
            <color indexed="81"/>
            <rFont val="Tahoma"/>
            <family val="2"/>
          </rPr>
          <t xml:space="preserve">Note:
</t>
        </r>
        <r>
          <rPr>
            <sz val="14"/>
            <color indexed="81"/>
            <rFont val="Tahoma"/>
            <family val="2"/>
          </rPr>
          <t>Projects typically use cost depletion in early years when operating at a taxable loss, and switch to percentage depletion once they have sufficient taxable income.  
This input allows the user to review the modeled project's taxable income stream and then manually select - if desired - the year in which the depletion method switches from Cost to Percentage Method.</t>
        </r>
      </text>
    </comment>
    <comment ref="Y101" authorId="0" shapeId="0" xr:uid="{00000000-0006-0000-0100-0000A8000000}">
      <text>
        <r>
          <rPr>
            <b/>
            <sz val="14"/>
            <color indexed="81"/>
            <rFont val="Tahoma"/>
            <family val="2"/>
          </rPr>
          <t>Note:</t>
        </r>
        <r>
          <rPr>
            <sz val="14"/>
            <color indexed="81"/>
            <rFont val="Tahoma"/>
            <family val="2"/>
          </rPr>
          <t xml:space="preserve">
Projects typically use cost depletion in early years when operating at a taxable loss, and switch to percentage depletion once they have sufficient taxable income.  
This input allows the user to review the modeled project's taxable income stream and then manually select - if desired - the year in which the depletion method switches from Cost to Percentage Method.
</t>
        </r>
        <r>
          <rPr>
            <b/>
            <sz val="14"/>
            <color indexed="81"/>
            <rFont val="Tahoma"/>
            <family val="2"/>
          </rPr>
          <t xml:space="preserve">
</t>
        </r>
      </text>
    </comment>
    <comment ref="P103" authorId="0" shapeId="0" xr:uid="{00000000-0006-0000-0100-0000A9000000}">
      <text>
        <r>
          <rPr>
            <b/>
            <sz val="8"/>
            <color indexed="81"/>
            <rFont val="Tahoma"/>
            <family val="2"/>
          </rPr>
          <t>See "unit" definitions at the bottom of this worksheet.</t>
        </r>
        <r>
          <rPr>
            <sz val="8"/>
            <color indexed="81"/>
            <rFont val="Tahoma"/>
            <family val="2"/>
          </rPr>
          <t xml:space="preserve">
</t>
        </r>
      </text>
    </comment>
    <comment ref="I104" authorId="0" shapeId="0" xr:uid="{00000000-0006-0000-0100-0000AA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S104" authorId="0" shapeId="0" xr:uid="{00000000-0006-0000-0100-0000AB0000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I105" authorId="0" shapeId="0" xr:uid="{00000000-0006-0000-0100-0000AC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05" authorId="0" shapeId="0" xr:uid="{00000000-0006-0000-0100-0000AD00000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I106" authorId="1" shapeId="0" xr:uid="{00000000-0006-0000-0100-0000AE000000}">
      <text>
        <r>
          <rPr>
            <b/>
            <sz val="14"/>
            <color indexed="81"/>
            <rFont val="Tahoma"/>
            <family val="2"/>
          </rPr>
          <t xml:space="preserve">Note:
</t>
        </r>
        <r>
          <rPr>
            <sz val="14"/>
            <color indexed="81"/>
            <rFont val="Tahoma"/>
            <family val="2"/>
          </rPr>
          <t xml:space="preserve">This cell calculates the total of all applicable grants, </t>
        </r>
        <r>
          <rPr>
            <b/>
            <u/>
            <sz val="14"/>
            <color indexed="81"/>
            <rFont val="Tahoma"/>
            <family val="2"/>
          </rPr>
          <t>excluding</t>
        </r>
        <r>
          <rPr>
            <sz val="14"/>
            <color indexed="81"/>
            <rFont val="Tahoma"/>
            <family val="2"/>
          </rPr>
          <t xml:space="preserve">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106" authorId="0" shapeId="0" xr:uid="{00000000-0006-0000-0100-0000AF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107" authorId="0" shapeId="0" xr:uid="{00000000-0006-0000-0100-0000B0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107" authorId="0" shapeId="0" xr:uid="{00000000-0006-0000-0100-0000B100000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S108" authorId="0" shapeId="0" xr:uid="{00000000-0006-0000-0100-0000B2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109" authorId="0" shapeId="0" xr:uid="{00000000-0006-0000-0100-0000B300000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S110" authorId="0" shapeId="0" xr:uid="{00000000-0006-0000-0100-0000B400000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B5" authorId="0" shapeId="0" xr:uid="{00000000-0006-0000-0200-00000100000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xr:uid="{00000000-0006-0000-0200-000002000000}">
      <text>
        <r>
          <rPr>
            <b/>
            <sz val="14"/>
            <color indexed="81"/>
            <rFont val="Tahoma"/>
            <family val="2"/>
          </rPr>
          <t xml:space="preserve">NOTE:
</t>
        </r>
        <r>
          <rPr>
            <sz val="14"/>
            <color indexed="81"/>
            <rFont val="Tahoma"/>
            <family val="2"/>
          </rPr>
          <t>The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C4" authorId="0" shapeId="0" xr:uid="{00000000-0006-0000-0300-00000100000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xr:uid="{00000000-0006-0000-0300-00000200000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xr:uid="{00000000-0006-0000-0300-000003000000}">
      <text>
        <r>
          <rPr>
            <b/>
            <sz val="14"/>
            <color indexed="81"/>
            <rFont val="Tahoma"/>
            <family val="2"/>
          </rPr>
          <t>Note:</t>
        </r>
        <r>
          <rPr>
            <sz val="14"/>
            <color indexed="81"/>
            <rFont val="Tahoma"/>
            <family val="2"/>
          </rPr>
          <t xml:space="preserve">
Includes all land lease, royalty and local tax or PILOT.
</t>
        </r>
      </text>
    </comment>
    <comment ref="F4" authorId="0" shapeId="0" xr:uid="{00000000-0006-0000-0300-000004000000}">
      <text>
        <r>
          <rPr>
            <b/>
            <sz val="12"/>
            <color indexed="81"/>
            <rFont val="Tahoma"/>
            <family val="2"/>
          </rPr>
          <t xml:space="preserve">Note:
</t>
        </r>
        <r>
          <rPr>
            <sz val="12"/>
            <color indexed="81"/>
            <rFont val="Tahoma"/>
            <family val="2"/>
          </rPr>
          <t>Includes principle and interest, if debt is used.</t>
        </r>
      </text>
    </comment>
    <comment ref="G4" authorId="0" shapeId="0" xr:uid="{00000000-0006-0000-0300-00000500000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xr:uid="{00000000-0006-0000-0300-00000600000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xr:uid="{00000000-0006-0000-0300-00000700000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xr:uid="{00000000-0006-0000-0300-00000800000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xr:uid="{00000000-0006-0000-0300-00000900000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E63" authorId="0" shapeId="0" xr:uid="{00000000-0006-0000-0400-00000100000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101" authorId="0" shapeId="0" xr:uid="{00000000-0006-0000-0400-00000200000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101" authorId="0" shapeId="0" xr:uid="{00000000-0006-0000-0400-00000300000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B141" authorId="0" shapeId="0" xr:uid="{00000000-0006-0000-0400-000004000000}">
      <text>
        <r>
          <rPr>
            <b/>
            <sz val="8"/>
            <color indexed="81"/>
            <rFont val="Tahoma"/>
            <family val="2"/>
          </rPr>
          <t>'50% of taxable income' is the not-to-exceed limit on Percentage Method depletion</t>
        </r>
      </text>
    </comment>
    <comment ref="G179" authorId="0" shapeId="0" xr:uid="{00000000-0006-0000-0400-00000500000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203" authorId="0" shapeId="0" xr:uid="{00000000-0006-0000-0400-00000600000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<sst xmlns="http://schemas.openxmlformats.org/spreadsheetml/2006/main" count="1108" uniqueCount="522">
  <si>
    <t>$</t>
  </si>
  <si>
    <t>%</t>
  </si>
  <si>
    <t>kWh</t>
  </si>
  <si>
    <t>Production</t>
  </si>
  <si>
    <t>years</t>
  </si>
  <si>
    <t>Federal Income Tax Rate</t>
  </si>
  <si>
    <t>State Income Tax Rate</t>
  </si>
  <si>
    <t>?</t>
  </si>
  <si>
    <t>Select Cost Level of Detail</t>
  </si>
  <si>
    <t>Operations &amp; Maintenance</t>
  </si>
  <si>
    <t>$/yr</t>
  </si>
  <si>
    <t>Operating Expenses</t>
  </si>
  <si>
    <t>Yes</t>
  </si>
  <si>
    <t>Technology Options</t>
  </si>
  <si>
    <t>Project Size and Performance</t>
  </si>
  <si>
    <t>Is owner a taxable entity?</t>
  </si>
  <si>
    <t>ITC utilization factor, if applicable</t>
  </si>
  <si>
    <t>Notes</t>
  </si>
  <si>
    <t>Check</t>
  </si>
  <si>
    <t>5-year MACRS</t>
  </si>
  <si>
    <t>15-year MACRS</t>
  </si>
  <si>
    <t>20-year SL</t>
  </si>
  <si>
    <t>Non-Depreciable</t>
  </si>
  <si>
    <t>Utilization Factor, if applicable</t>
  </si>
  <si>
    <t>Cost Category</t>
  </si>
  <si>
    <t>year</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</si>
  <si>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</si>
  <si>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</si>
  <si>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</si>
  <si>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</si>
  <si>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</si>
  <si>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</si>
  <si>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</si>
  <si>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</si>
  <si>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</si>
  <si>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</si>
  <si>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</si>
  <si>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</si>
  <si>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</si>
  <si>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</si>
  <si>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</si>
  <si>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</si>
  <si>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</si>
  <si>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</si>
  <si>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</si>
  <si>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Other Equity &amp; Debt Closing Costs</t>
  </si>
  <si>
    <t>Inputs Summary</t>
  </si>
  <si>
    <t>Outputs Summary</t>
  </si>
  <si>
    <t>¢/kWh</t>
  </si>
  <si>
    <t>Annual Project Cash Flows, Returns &amp; Other Metrics</t>
  </si>
  <si>
    <t>Revenue</t>
  </si>
  <si>
    <t>Year</t>
  </si>
  <si>
    <t>Cumulative Cash Flow</t>
  </si>
  <si>
    <t>After Tax IRR</t>
  </si>
  <si>
    <t>Debt Service</t>
  </si>
  <si>
    <t>Coverage</t>
  </si>
  <si>
    <t>Current Model Run</t>
  </si>
  <si>
    <t>units</t>
  </si>
  <si>
    <t>O&amp;M Reserve/Working Capital</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</si>
  <si>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</si>
  <si>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</si>
  <si>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</si>
  <si>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</si>
  <si>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</si>
  <si>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</si>
  <si>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</si>
  <si>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</si>
  <si>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</si>
  <si>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</si>
  <si>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</si>
  <si>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</si>
  <si>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</si>
  <si>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</si>
  <si>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</si>
  <si>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</si>
  <si>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</si>
  <si>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</si>
  <si>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</si>
  <si>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</si>
  <si>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</si>
  <si>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</si>
  <si>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</si>
  <si>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</si>
  <si>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</si>
  <si>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</si>
  <si>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</si>
  <si>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</si>
  <si>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 Eligible for ITC</t>
  </si>
  <si>
    <t>placeholder</t>
  </si>
  <si>
    <t>Click Here to Return to Inputs Worksheet</t>
  </si>
  <si>
    <t>Variable O&amp;M Expense, Yr 1</t>
  </si>
  <si>
    <t xml:space="preserve">¢/kWh </t>
  </si>
  <si>
    <t>see table ==&gt;</t>
  </si>
  <si>
    <t>Tariff Rate &amp; Cash Incentives</t>
  </si>
  <si>
    <t>Percentage of Tariff Escalated</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</si>
  <si>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</si>
  <si>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</si>
  <si>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</si>
  <si>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</si>
  <si>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</si>
  <si>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</si>
  <si>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</si>
  <si>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</si>
  <si>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</si>
  <si>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</si>
  <si>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</si>
  <si>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</si>
  <si>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</si>
  <si>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</si>
  <si>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</si>
  <si>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</si>
  <si>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</si>
  <si>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</si>
  <si>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</si>
  <si>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</si>
  <si>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</si>
  <si>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Allocation</t>
  </si>
  <si>
    <t xml:space="preserve">ITC or Cash Grant  </t>
  </si>
  <si>
    <t>check</t>
  </si>
  <si>
    <t>Total Installed Cost</t>
  </si>
  <si>
    <t>No</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</si>
  <si>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</si>
  <si>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</si>
  <si>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</si>
  <si>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</si>
  <si>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</si>
  <si>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</si>
  <si>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</si>
  <si>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</si>
  <si>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</si>
  <si>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</si>
  <si>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</si>
  <si>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</si>
  <si>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</si>
  <si>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</si>
  <si>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</si>
  <si>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</si>
  <si>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</si>
  <si>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</si>
  <si>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</si>
  <si>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After Tax Cash Flow</t>
  </si>
  <si>
    <t>Reserves</t>
  </si>
  <si>
    <t>PBI Utilization Factor, if applicable</t>
  </si>
  <si>
    <t>Depreciation Classification</t>
  </si>
  <si>
    <t>Interconnection</t>
  </si>
  <si>
    <t>Sample inputs provided on this tab are illustrative only, all inputs must be provided and validated by the user.</t>
  </si>
  <si>
    <t>Total Project Costs</t>
  </si>
  <si>
    <t>$ Eligible for ITC</t>
  </si>
  <si>
    <t>Lender Fee</t>
  </si>
  <si>
    <t>Initial Funding of Debt Service &amp; Working Capital/O&amp;M Reserves</t>
  </si>
  <si>
    <t>Other Closing Costs</t>
  </si>
  <si>
    <t>Other Grants or Rebates</t>
  </si>
  <si>
    <t>State Income Taxes Saved / (Paid), before ITC/PTC</t>
  </si>
  <si>
    <t>Title:</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</si>
  <si>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</si>
  <si>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</si>
  <si>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</si>
  <si>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</si>
  <si>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</si>
  <si>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</si>
  <si>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</si>
  <si>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</si>
  <si>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</si>
  <si>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Model Architecture:</t>
  </si>
  <si>
    <t>Black Text is strictly reserved for cells that are calculated automatically . These cells should not be modified.</t>
  </si>
  <si>
    <t>Pass/Fail</t>
  </si>
  <si>
    <t>Min DSCR</t>
  </si>
  <si>
    <t>Taxable Entity? (turns on/off ITC and depreciation input cells)</t>
  </si>
  <si>
    <t>Federal PTC (as generated)</t>
  </si>
  <si>
    <t>State PTC (as generated)</t>
  </si>
  <si>
    <t>Version:</t>
  </si>
  <si>
    <t>Entering Inputs:  Model Conventions</t>
  </si>
  <si>
    <t>In the "Check" column, green cells are used to indicate that the user has entered an acceptable value in a required field.</t>
  </si>
  <si>
    <t>Annual Escalation of Year-One COE</t>
  </si>
  <si>
    <t>% of Year-One Tariff Rate Escalated</t>
  </si>
  <si>
    <t>Project Management Yr 1</t>
  </si>
  <si>
    <t xml:space="preserve">ITC Amount </t>
  </si>
  <si>
    <t>Paste Results of Multiple Model Runs Below</t>
  </si>
  <si>
    <t>[Insert Scenario Name]</t>
  </si>
  <si>
    <t>Results of multiple scenarios may be compared here by using the "copy" and "paste special - values" feature to transfer values from column D to columns F through O</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</si>
  <si>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</si>
  <si>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</si>
  <si>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</si>
  <si>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</si>
  <si>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</si>
  <si>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</si>
  <si>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</si>
  <si>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</si>
  <si>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Year-by-Year Inputs for Market Value of Production, if applicable</t>
  </si>
  <si>
    <t>Complex Inputs for Deriving Total Project Capital Cost, if applicable</t>
  </si>
  <si>
    <t>* Includes energy, capacity &amp; RECs</t>
  </si>
  <si>
    <t>Market Revenue</t>
  </si>
  <si>
    <t>Post-Tariff Market Value of Production</t>
  </si>
  <si>
    <t>Required Minimum Annual DSCR</t>
  </si>
  <si>
    <t>Actual Minimum DSCR, occurs in →</t>
  </si>
  <si>
    <t xml:space="preserve">ITC or Cash Grant Amount </t>
  </si>
  <si>
    <t>Tariff or Market Value</t>
  </si>
  <si>
    <t>Project</t>
  </si>
  <si>
    <t>Summary Results</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</si>
  <si>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</si>
  <si>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</si>
  <si>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</si>
  <si>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</si>
  <si>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</si>
  <si>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</si>
  <si>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</si>
  <si>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</si>
  <si>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</si>
  <si>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</si>
  <si>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</si>
  <si>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</si>
  <si>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</si>
  <si>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</si>
  <si>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</si>
  <si>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State Grants Treated as Taxable Income?</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</si>
  <si>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</si>
  <si>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</si>
  <si>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</si>
  <si>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</si>
  <si>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</si>
  <si>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</si>
  <si>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</si>
  <si>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</si>
  <si>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</si>
  <si>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</si>
  <si>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Project Year</t>
  </si>
  <si>
    <t>Bundled* Market Value of Production (¢/kWh)</t>
  </si>
  <si>
    <t>Avg. DSCR</t>
  </si>
  <si>
    <t>Tariff Rate (Fixed Portion)</t>
  </si>
  <si>
    <t>Tariff Rate (Total)</t>
  </si>
  <si>
    <t>Tariff Rate (Escalating Portion)</t>
  </si>
  <si>
    <t>Equity Investment</t>
  </si>
  <si>
    <t>Pre-Tax Cash Flow</t>
  </si>
  <si>
    <t>Revenue + Tax Benefit/(Loss)</t>
  </si>
  <si>
    <t>Expenses + Cash Obligations</t>
  </si>
  <si>
    <t>Graph Data</t>
  </si>
  <si>
    <t>Operating the Model:</t>
  </si>
  <si>
    <t>Understanding the Results:</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</si>
  <si>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</si>
  <si>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</si>
  <si>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</si>
  <si>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</si>
  <si>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</si>
  <si>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</si>
  <si>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</si>
  <si>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</si>
  <si>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</si>
  <si>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</si>
  <si>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</si>
  <si>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</si>
  <si>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</si>
  <si>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</si>
  <si>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</si>
  <si>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r>
      <t>Taxable Income (Federal)</t>
    </r>
    <r>
      <rPr>
        <sz val="12"/>
        <rFont val="Arial"/>
        <family val="2"/>
      </rPr>
      <t>,           operating loss treatment ==&gt;&gt;</t>
    </r>
  </si>
  <si>
    <r>
      <t>Taxable Income (State),</t>
    </r>
    <r>
      <rPr>
        <sz val="12"/>
        <rFont val="Arial"/>
        <family val="2"/>
      </rPr>
      <t xml:space="preserve">               operating loss treatment ==&gt;&gt;</t>
    </r>
  </si>
  <si>
    <t>Federal Tax Benefits used as generated or carried forward?</t>
  </si>
  <si>
    <t>State Tax Benefits used as generated or carried forward?</t>
  </si>
  <si>
    <t>Federal Carry-Forward</t>
  </si>
  <si>
    <t>State Carry-Forward</t>
  </si>
  <si>
    <t>Federal Tax Income</t>
  </si>
  <si>
    <t>State Tax Income</t>
  </si>
  <si>
    <t>Federal Tax 
Benefit/ (Loss)</t>
  </si>
  <si>
    <t>State Tax 
Benefit/ (Loss)</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</si>
  <si>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</si>
  <si>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</si>
  <si>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</si>
  <si>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</si>
  <si>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</si>
  <si>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</si>
  <si>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</si>
  <si>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</si>
  <si>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</si>
  <si>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</si>
  <si>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</si>
  <si>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</si>
  <si>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</si>
  <si>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</si>
  <si>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</si>
  <si>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Notes: User-Defined</t>
  </si>
  <si>
    <t>Cost-Based</t>
  </si>
  <si>
    <t>Investment Tax Credit (ITC) or Cash Grant?</t>
  </si>
  <si>
    <t>Type of Federal Incentive Assumed</t>
  </si>
  <si>
    <t>Is PBI Tax-Based (PTC) or Cash-Based (REPI)?</t>
  </si>
  <si>
    <t>Is Performance-Based Incentive Tax Credit or Cash Pmt?</t>
  </si>
  <si>
    <t>($/kW-yr) – an annual expense (or revenue) based on generator capacity</t>
  </si>
  <si>
    <t>($) – All CREST model values are in nominal dollars</t>
  </si>
  <si>
    <t>Weighted Average Cost of Capital (WACC)</t>
  </si>
  <si>
    <t>Year One</t>
  </si>
  <si>
    <t>As Generated</t>
  </si>
  <si>
    <t>Did you confirm that all minimum required inputs have green check cells?</t>
  </si>
  <si>
    <t>ITC</t>
  </si>
  <si>
    <t>Insurance, Yr 1 ($) (Provided for reference)</t>
  </si>
  <si>
    <t>Royalties, Yr 1 ($) (Provided for reference)</t>
  </si>
  <si>
    <r>
      <rPr>
        <b/>
        <sz val="12"/>
        <color theme="4"/>
        <rFont val="Calibri"/>
        <family val="2"/>
        <scheme val="minor"/>
      </rPr>
      <t>Blue Bold Text</t>
    </r>
    <r>
      <rPr>
        <sz val="12"/>
        <color theme="1"/>
        <rFont val="Calibri"/>
        <family val="2"/>
        <scheme val="minor"/>
      </rPr>
      <t xml:space="preserve"> denotes user-defined inputs.  The user is responsible for modifying these cells to be consistent with the project being evaluated.</t>
    </r>
  </si>
  <si>
    <t>Conversely, red cells appearing in the "Check" column indicate that a required cell is blank or contains an invalid argument which requires the user's attention.</t>
  </si>
  <si>
    <t>Yellow boxes are used to highlight input choices the model user must make via a dropdown menu.</t>
  </si>
  <si>
    <t>The "Notes" column, populated with boxes showing a "?", contains a combination of definitions, explanations and ranges of typical values for most inputs.  To read a note, the users need only move the cursor onto the applicable cell.  The user is strongly encouraged to review all of these comments in order to understand key features of the CREST model.</t>
  </si>
  <si>
    <t>The output of this model is the all-in payment required to cover all expenses and meet the project investors' after-tax return requirements over the specified number of years. This payment can be used to inform the feed-in tariff rate-setting process.  The payment can either be expressed as a  ‘Year One’ value of which all, or a designated portion, escalates each year during the tariff's duration at a defined rate, or as a "nominal levelized" value (where zero annual escalation is assumed).  The model output is always expressed in cents/kWh.  It is important to note that this calculated tariff rate is net of other assumed incentives, such as federal tax credits and state grants.</t>
  </si>
  <si>
    <t>Press F9 each time inputs are changed to ensure completion of the COE calculation.  
When "#N/A" appears,  press "F9" in the upper row on your keyboard to complete the calculation.  It may be necessary to press F9 more than once. See note for details.</t>
  </si>
  <si>
    <t>Minimum DSCR Check Cell (If "Fail," read note ==&gt;)</t>
  </si>
  <si>
    <t>Average DSCR Check Cell (If "Fail," read note ==&gt;)</t>
  </si>
  <si>
    <t>Input Value</t>
  </si>
  <si>
    <t>Input Values</t>
  </si>
  <si>
    <t>Select Production Degradation Level of Detail</t>
  </si>
  <si>
    <t>Ratio of Plant Capacity to Thermal Potential</t>
  </si>
  <si>
    <t>ratio</t>
  </si>
  <si>
    <t>Thermal Resource Potential, Yr 1 (kW-electric equivalent)</t>
  </si>
  <si>
    <t>MW</t>
  </si>
  <si>
    <t>Select Thermal Resource Degradation Level of Detail</t>
  </si>
  <si>
    <t>Annual Degradation of Thermal Resource</t>
  </si>
  <si>
    <t>% of initial</t>
  </si>
  <si>
    <t>Exploration Costs Attributed to Project</t>
  </si>
  <si>
    <t>#</t>
  </si>
  <si>
    <t>Avg cost per exploration well</t>
  </si>
  <si>
    <t>Non-well exploration costs</t>
  </si>
  <si>
    <t>Confirmation well success ratio</t>
  </si>
  <si>
    <t>Cost per confirmation well</t>
  </si>
  <si>
    <t>Non-well confirmation costs</t>
  </si>
  <si>
    <t>Total Production Wells Needed</t>
  </si>
  <si>
    <t>Ratio of Injection to Production Wells</t>
  </si>
  <si>
    <t>Cost per production well</t>
  </si>
  <si>
    <t>Cost per injection well</t>
  </si>
  <si>
    <t>Non-Drilling Wellfield Costs (excluding confirmation phase)</t>
  </si>
  <si>
    <t>$/kW</t>
  </si>
  <si>
    <t>$/kW-yr</t>
  </si>
  <si>
    <t>Plant Capacity Factor by year (%)</t>
  </si>
  <si>
    <t>Production Degradation</t>
  </si>
  <si>
    <t>Plant Capacity</t>
  </si>
  <si>
    <t>Resource Potential Degradation</t>
  </si>
  <si>
    <t>Resource Potential</t>
  </si>
  <si>
    <t>Annual Plant Production Degradation</t>
  </si>
  <si>
    <t>Confirmation Well Drilling Cost (total)</t>
  </si>
  <si>
    <t>Production Well Drilling Cost (total)</t>
  </si>
  <si>
    <t>Injection Well Drilling Cost (total)</t>
  </si>
  <si>
    <t>Surface equipment cost (total)</t>
  </si>
  <si>
    <t>Non-well costs (total)</t>
  </si>
  <si>
    <t>Fixed O&amp;M Expense (Field)</t>
  </si>
  <si>
    <t>Variable O&amp;M Expense (Field)</t>
  </si>
  <si>
    <t>Fixed O&amp;M Expense (Plant)</t>
  </si>
  <si>
    <t>Variable O&amp;M Expense (Plant)</t>
  </si>
  <si>
    <t>Field</t>
  </si>
  <si>
    <t>Plant</t>
  </si>
  <si>
    <t>Capital Expenditures During Operations: Replacement Wells</t>
  </si>
  <si>
    <t>% Equity (% hard costs) (soft costs also equity funded)</t>
  </si>
  <si>
    <t>Degradation:</t>
  </si>
  <si>
    <t>Thermal Resource Degradation</t>
  </si>
  <si>
    <t>Power Plant</t>
  </si>
  <si>
    <t xml:space="preserve">Operations &amp; Maintenance: </t>
  </si>
  <si>
    <t>Land Lease</t>
  </si>
  <si>
    <t>Bonus Depreciation</t>
  </si>
  <si>
    <t>Project Cost Allocation</t>
  </si>
  <si>
    <t>Before</t>
  </si>
  <si>
    <t xml:space="preserve">% </t>
  </si>
  <si>
    <t xml:space="preserve">After </t>
  </si>
  <si>
    <t>Adjustments</t>
  </si>
  <si>
    <t>Unadjusted</t>
  </si>
  <si>
    <t>Adjusted</t>
  </si>
  <si>
    <t>Project Cost Basis</t>
  </si>
  <si>
    <t>Pre-Tax (Cash-only) Equity IRR (over defined Useful Life)</t>
  </si>
  <si>
    <t>After Tax Equity IRR (over defined Useful Life)</t>
  </si>
  <si>
    <t>Adjustment to Cost Basis for ITC &amp; Non-taxable Grants</t>
  </si>
  <si>
    <t>Cost of Renewable Energy Spreadsheet Tool (CREST)</t>
  </si>
  <si>
    <t>User Manual:</t>
  </si>
  <si>
    <t>Examples:</t>
  </si>
  <si>
    <t>Input Format</t>
  </si>
  <si>
    <t>Calculated Value Format</t>
  </si>
  <si>
    <t>Drop-Down Menu</t>
  </si>
  <si>
    <r>
      <t xml:space="preserve">Once a user has finished entering the characteristics of the project under review on the "Inputs" tab, the model will automatically calculate both the "Year One" and equivalent "Levelized Cost of Energy" -- as defined and discussed in the User Manual.  MS Excel's "Calculation Options" </t>
    </r>
    <r>
      <rPr>
        <b/>
        <sz val="12"/>
        <color theme="1"/>
        <rFont val="Calibri"/>
        <family val="2"/>
        <scheme val="minor"/>
      </rPr>
      <t>MUST</t>
    </r>
    <r>
      <rPr>
        <sz val="12"/>
        <color theme="1"/>
        <rFont val="Calibri"/>
        <family val="2"/>
        <scheme val="minor"/>
      </rPr>
      <t xml:space="preserve"> be set to "</t>
    </r>
    <r>
      <rPr>
        <u/>
        <sz val="12"/>
        <color theme="1"/>
        <rFont val="Calibri"/>
        <family val="2"/>
        <scheme val="minor"/>
      </rPr>
      <t>Automatic</t>
    </r>
    <r>
      <rPr>
        <sz val="12"/>
        <color theme="1"/>
        <rFont val="Calibri"/>
        <family val="2"/>
        <scheme val="minor"/>
      </rPr>
      <t xml:space="preserve">" in order for these results to be generated automatically.  If "Calculation Options" are not set to "Automatic," then the user will need to press "F9" </t>
    </r>
    <r>
      <rPr>
        <u/>
        <sz val="12"/>
        <color theme="1"/>
        <rFont val="Calibri"/>
        <family val="2"/>
        <scheme val="minor"/>
      </rPr>
      <t>after any input is changed</t>
    </r>
    <r>
      <rPr>
        <sz val="12"/>
        <color theme="1"/>
        <rFont val="Calibri"/>
        <family val="2"/>
        <scheme val="minor"/>
      </rPr>
      <t>, in order to calculate accurate results. Even when the Calculations Options are set to Automatic, there are circumstances in which F9 will need to be pressed one or more times in order to complete the calculation.  This is described in more detail in the note towards the top of the Summary Results worksheet. 
Results appear on the "Summary Results" worksheet.  In an effort to allow the user to perform a side-by-side review of multiple cases, the "Summary Results" tab has columns for multiple results. The user is encouraged to copy and paste results from column D into columns F-O as multiple scenarios are run.  This is accomplished by using the "copy" and then "paste special -- values" features in Excel.</t>
    </r>
  </si>
  <si>
    <t>The CREST model consists of six worksheets: (1) Introduction: An overview of the CREST model, (2) Inputs: The interface for nearly all user-defined assumptions, (3) Summary Results: A framework for storing the output (results) and associated key inputs of multiple model runs, (4) Annual Cash Flows &amp; Returns: Provides a summary of the modeled project's annual cash flows, (5) Cash Flow: The formula calculations, or "guts", of the model; derives all project cash and tax benefits, and (6) Complex Inputs: This worksheet is only used if the user elects to include a detailed breakdown of project costs; this choice is selected by the user on the Inputs tab. Users should expect to work primarily with the "Inputs" and the "Summary Results" worksheets, although the other tabs and summaries are also expected to be useful during the policy-making process.</t>
  </si>
  <si>
    <t>Federal Incentives</t>
  </si>
  <si>
    <t>1st Set of Well Replacements</t>
  </si>
  <si>
    <t>2nd Set of Well Replacements</t>
  </si>
  <si>
    <t># of Wells Replaced</t>
  </si>
  <si>
    <t>Cost per Replacement Well  ($ in year replaced)</t>
  </si>
  <si>
    <t>Resulting Increase in Thermal Resource Potential</t>
  </si>
  <si>
    <t>Other O&amp;M</t>
  </si>
  <si>
    <t>Year-by-Year Inputs for Thermal Resource and Production Degradation, if applicable</t>
  </si>
  <si>
    <t>Annual</t>
  </si>
  <si>
    <t>http://dsireusa.org/</t>
  </si>
  <si>
    <t>http://dsireusa.org/incentives/incentive.cfm?Incentive_Code=US02F&amp;re=1&amp;ee=1</t>
  </si>
  <si>
    <t>http://dsireusa.org/incentives/index.cfm?state=us&amp;re=1&amp;EE=1</t>
  </si>
  <si>
    <t>Summary of Reference Links From Inputs Worksheet</t>
  </si>
  <si>
    <t>Several of the input-specific "Notes" on the Inputs worksheet contain hyperlinks.  Since these hyperlinks are not operable when placed within the MS Excel notes feature, they are duplicated here for the user's convenience.</t>
  </si>
  <si>
    <t>DSIRE</t>
  </si>
  <si>
    <t>DSIRE: Tax/Grants</t>
  </si>
  <si>
    <t>DSIRE: Other Fed Incentives</t>
  </si>
  <si>
    <t>Total State ITC, over realization period</t>
  </si>
  <si>
    <t>Allocation of Depreciable, Depletable &amp; Expensable Costs</t>
  </si>
  <si>
    <t>Depletion</t>
  </si>
  <si>
    <t>Yr 1 Expensing</t>
  </si>
  <si>
    <t>Depletable</t>
  </si>
  <si>
    <t>Expensable</t>
  </si>
  <si>
    <t>Capital Cost Expensing</t>
  </si>
  <si>
    <t>Depletion -- Cost Method</t>
  </si>
  <si>
    <t>Depletion -- Percentage (Statutory) Method</t>
  </si>
  <si>
    <t>Percentage (Statutory) Depletion Deduction %:</t>
  </si>
  <si>
    <t>Portion of Revenue Attributable to Steam:</t>
  </si>
  <si>
    <t>Additional Depletion Inputs:</t>
  </si>
  <si>
    <t>Depreciation, Depletion &amp; Year-1 Expensing Allocation</t>
  </si>
  <si>
    <t>Depreciation, Depletion &amp; Capital Cost Expensing</t>
  </si>
  <si>
    <r>
      <t>Depletion -- Active Case</t>
    </r>
    <r>
      <rPr>
        <sz val="12"/>
        <rFont val="Arial"/>
        <family val="2"/>
      </rPr>
      <t xml:space="preserve"> (subject to change over time per user-defined inputs)</t>
    </r>
  </si>
  <si>
    <t>Select Depletion Methodology:</t>
  </si>
  <si>
    <t>Cost Method</t>
  </si>
  <si>
    <t>If Cost Method, switch to Percentage Method in year:</t>
  </si>
  <si>
    <t>Depletion:</t>
  </si>
  <si>
    <t>Depletion &amp; Capital Cost Expensing</t>
  </si>
  <si>
    <t>Capital Cost Expensing:</t>
  </si>
  <si>
    <t>50% of Taxable Income, before depletion</t>
  </si>
  <si>
    <t>Cost-Based Tariff Rate Structure</t>
  </si>
  <si>
    <t>Cost-Based Tariff Escalation Rate</t>
  </si>
  <si>
    <t xml:space="preserve">http://financere.nrel.gov/finance/content/crest-model </t>
  </si>
  <si>
    <t>The remainder of this Introduction worksheet provides an abridged version of the User Manual.</t>
  </si>
  <si>
    <r>
      <t xml:space="preserve">The CREST model comes with a User Manual which describes its design, features, inputs and outputs.  The manual is intended to provide an easy to follow road map to users who might not typically work with financial analyses,  to ensure successful utilization of this Cost of Energy tool.  The User Manual gives a "guided tour" of the model architecture, provides an explanation of how to operate the model, compare multiple analyses, and understand the results.  The User Manual is available to download at: </t>
    </r>
    <r>
      <rPr>
        <sz val="12"/>
        <color theme="1"/>
        <rFont val="Calibri"/>
        <family val="2"/>
        <scheme val="minor"/>
      </rPr>
      <t xml:space="preserve">
</t>
    </r>
  </si>
  <si>
    <t>RETI Cost of Generation Spreadsheet</t>
  </si>
  <si>
    <t>Vermont Standard Offer Models</t>
  </si>
  <si>
    <t>RETScreen</t>
  </si>
  <si>
    <t>Gainesville FIT Model</t>
  </si>
  <si>
    <t>Solar Advisor Model (SAM)</t>
  </si>
  <si>
    <t>EU PV Platform</t>
  </si>
  <si>
    <t>Vote Solar Incentive Comparison Model</t>
  </si>
  <si>
    <t>Geothermal Electricity Technology Evaluation Model (GETEM)</t>
  </si>
  <si>
    <t>Summary of Models Reviewed During the Development of the solar, wind and geothermal CREST:</t>
  </si>
  <si>
    <t>These models were reviewed primarily to identify best practices which effectively balance ease of use with flexibility and advanced functionality.  In most cases, the helpful modeling techniques identified are not technology-specific, and have influenced the general design of all three CREST models.  Each of the models listed below is discussed in more detail in the report (please see link at the top of this worksheet).</t>
  </si>
  <si>
    <t>Number of Successful Exploration Wells Required</t>
  </si>
  <si>
    <t xml:space="preserve">GETEM </t>
  </si>
  <si>
    <t>For a detailed description of the concepts and components associated with a geothermal power facility, please refer to the Geothermal Electricity Technology Evaluation Model (GETEM) and related resources:</t>
  </si>
  <si>
    <t xml:space="preserve">http://www1.eere.energy.gov/geothermal/getem.html </t>
  </si>
  <si>
    <r>
      <t xml:space="preserve">Forecasted Market Value of Production; applies </t>
    </r>
    <r>
      <rPr>
        <b/>
        <u/>
        <sz val="12"/>
        <rFont val="Arial"/>
        <family val="2"/>
      </rPr>
      <t>after</t>
    </r>
    <r>
      <rPr>
        <b/>
        <sz val="12"/>
        <rFont val="Arial"/>
        <family val="2"/>
      </rPr>
      <t xml:space="preserve"> Incentive Expiration</t>
    </r>
  </si>
  <si>
    <t>Initial Drilling (no upgrades)</t>
  </si>
  <si>
    <t>With First Upgrade</t>
  </si>
  <si>
    <t>With Second Upgrade</t>
  </si>
  <si>
    <t>Power Plant Production Capacity</t>
  </si>
  <si>
    <t>Annual Production</t>
  </si>
  <si>
    <t>Author:</t>
  </si>
  <si>
    <t>Sustainable Energy Advantage, LLC</t>
  </si>
  <si>
    <t>For Technical Support, Please Contact:</t>
  </si>
  <si>
    <t xml:space="preserve">Michael Mendelsohn, NREL
(303) 384-7363
michael.mendelsohn@nrel.gov </t>
  </si>
  <si>
    <t>For Model Customization, Please Contact:</t>
  </si>
  <si>
    <t xml:space="preserve">Sustainable Energy Advantage, LLC
(508) 665-5850
CREST@seadvantage.com </t>
  </si>
  <si>
    <t>Introduction:</t>
  </si>
  <si>
    <t xml:space="preserve">The CREST model is a cost-of-energy analysis tool intended to assist policy makers evaluating the appropriate payment rate for a cost-based renewable energy incentive policy. The model aims to determine the cost-of-energy, or minimum revenue per unit of production needed for a sample (modeled) renewable energy project to meet its investors' assumed minimum required after-tax rate of return.  This model was developed in conjunction with a report entitled “Renewable Energy Cost Modeling: A Toolkit for Establishing Cost-Based Incentives in the United States”, developed under contract to the National Renewable Energy Laboratory. For more information about the factors, issues and policy decisions involved in establishing cost-based rates and incentives, please refer to the report.
The report, user manual and CREST models are free and available for download at: </t>
  </si>
  <si>
    <t>Total Value of Grants  (excl. pmt in lieu of ITC, if applicable)</t>
  </si>
  <si>
    <t>Total Installed Cost (before grants, if applicable)</t>
  </si>
  <si>
    <t>Net Installed Cost</t>
  </si>
  <si>
    <t>Total Operating Expenses</t>
  </si>
  <si>
    <t>Payment Duration for Cost-Based Tariff</t>
  </si>
  <si>
    <t>Tax Credit-  or Cash- Based?</t>
  </si>
  <si>
    <t>Debt Term</t>
  </si>
  <si>
    <t>% of Year 1 Tariff Rate Escalated</t>
  </si>
  <si>
    <t>Operating Expenses, Aggregated, Yr 1</t>
  </si>
  <si>
    <t>Federal Tax Benefts Used "as generated" or "carried forward"?</t>
  </si>
  <si>
    <t>State Tax Benefts Used "as generated" or "carried forward"?</t>
  </si>
  <si>
    <t>Total of Grants or Rebates</t>
  </si>
  <si>
    <t>Bonus Depreciation assumed?</t>
  </si>
  <si>
    <t>Years</t>
  </si>
  <si>
    <r>
      <rPr>
        <sz val="11"/>
        <color theme="1"/>
        <rFont val="Calibri"/>
        <family val="2"/>
      </rPr>
      <t>¢</t>
    </r>
    <r>
      <rPr>
        <i/>
        <sz val="11"/>
        <color theme="1"/>
        <rFont val="Arial"/>
        <family val="2"/>
      </rPr>
      <t>/kWh</t>
    </r>
  </si>
  <si>
    <t>Cash</t>
  </si>
  <si>
    <t>Total $ Cap on State Rebates/Grants</t>
  </si>
  <si>
    <t>Annual $ Cap on Performance-Based Incentive</t>
  </si>
  <si>
    <t>State Tax Credits, Rebates and/or REC Revenue</t>
  </si>
  <si>
    <t>PBI or REC Rate</t>
  </si>
  <si>
    <t>PBI or REC PaymentDuration</t>
  </si>
  <si>
    <t>PBI or REC Escalation Rate (pos. or neg.)</t>
  </si>
  <si>
    <t>Net Year-One Cost of Energy (COE)</t>
  </si>
  <si>
    <t>Net Nominal Levelized Cost of Energy</t>
  </si>
  <si>
    <r>
      <t xml:space="preserve">Additional Federal Grants </t>
    </r>
    <r>
      <rPr>
        <b/>
        <sz val="10"/>
        <rFont val="Arial"/>
        <family val="2"/>
      </rPr>
      <t>(Other than Section 1603)</t>
    </r>
  </si>
  <si>
    <t>Select Form of Federal Incentive</t>
  </si>
  <si>
    <t>Additional State Rebates/Grants</t>
  </si>
  <si>
    <t>Select Form of State Incentive</t>
  </si>
  <si>
    <t>If cash, is state PBI or REC taxable?</t>
  </si>
  <si>
    <t>Neither</t>
  </si>
  <si>
    <t>Cost Level of Detail: Confirmation and Site Development Costs</t>
  </si>
  <si>
    <t>Exploration Well Drilling Success Rate</t>
  </si>
  <si>
    <t>Site Construction Costs: Well field &amp; Power Plant</t>
  </si>
  <si>
    <t>Production Well Field</t>
  </si>
  <si>
    <t>Power Plant &amp; Interconnection</t>
  </si>
  <si>
    <t>Total Confirmation Well Cost (at end of Confirmation Phase)</t>
  </si>
  <si>
    <t>Duration of Confirmation Phase</t>
  </si>
  <si>
    <r>
      <rPr>
        <b/>
        <sz val="12"/>
        <rFont val="Arial"/>
        <family val="2"/>
      </rPr>
      <t>Total Confirmation Costs</t>
    </r>
    <r>
      <rPr>
        <sz val="12"/>
        <rFont val="Arial"/>
        <family val="2"/>
      </rPr>
      <t xml:space="preserve"> (at time of permanent financing)</t>
    </r>
  </si>
  <si>
    <t>Number of successful confirmation wells required</t>
  </si>
  <si>
    <t>Total Confirmation Phase Costs (excluding time-value of money)</t>
  </si>
  <si>
    <t>Duration of Construction Phase</t>
  </si>
  <si>
    <t>Total Power Plant &amp; Interconnection Cost (at COD)</t>
  </si>
  <si>
    <t>Total Well Field &amp; Power Plant Costs (at COD)</t>
  </si>
  <si>
    <t>Total Well Field Cost (at end of Construction/COD)</t>
  </si>
  <si>
    <t>% of Construction Costs Financed with Equity</t>
  </si>
  <si>
    <t>% of Construction Costs Financed with Debt</t>
  </si>
  <si>
    <t>Blended Cost of Construction Financing</t>
  </si>
  <si>
    <r>
      <rPr>
        <b/>
        <sz val="12"/>
        <rFont val="Arial"/>
        <family val="2"/>
      </rPr>
      <t>Total Exploration Costs</t>
    </r>
    <r>
      <rPr>
        <sz val="12"/>
        <rFont val="Arial"/>
        <family val="2"/>
      </rPr>
      <t xml:space="preserve"> (including return from inception to COD)</t>
    </r>
  </si>
  <si>
    <t>$/Well</t>
  </si>
  <si>
    <t>Expected Return on Exploration Capital (from investment to COD)</t>
  </si>
  <si>
    <t>Confirmation Drilling Costs</t>
  </si>
  <si>
    <t>Annual Return Requirement of Confirmation Stage Investors</t>
  </si>
  <si>
    <t>Annual Return Requirement of Construction Phase Equity Investors</t>
  </si>
  <si>
    <t>Exploration Cost, before time-value of investment (for reference)</t>
  </si>
  <si>
    <t>Total Well Field &amp; Power Plant Cost per kW (for reference)</t>
  </si>
  <si>
    <t>% Bonus Depreciation, Yr 1, if applicable</t>
  </si>
  <si>
    <t>Total Production Well Field Cost</t>
  </si>
  <si>
    <t>Total Production Well Field Cost per kW (for reference)</t>
  </si>
  <si>
    <t>Total Power Plant &amp; Interconnection Cost</t>
  </si>
  <si>
    <t>Total Power Plant Costs per kW (for reference)</t>
  </si>
  <si>
    <t>% of Confirmation Costs Financed with Debt</t>
  </si>
  <si>
    <t>% of Confirmation Costs Financed with Equity</t>
  </si>
  <si>
    <t>Salvage</t>
  </si>
  <si>
    <t>Generator Gross Nameplate Capacity</t>
  </si>
  <si>
    <t>Total Capital Invested in Exploration</t>
  </si>
  <si>
    <t>Total Exploration Costs (before time-value of investment)</t>
  </si>
  <si>
    <t>Desk-top studies</t>
  </si>
  <si>
    <t>initial surface exploration</t>
  </si>
  <si>
    <t>temperature gradient drilling</t>
  </si>
  <si>
    <t>Total Exploration Phase Costs (excluding time-value of money)</t>
  </si>
  <si>
    <t>Installed Cost, excluding exploration costs</t>
  </si>
  <si>
    <t>Total Reserves &amp; Financing Costs</t>
  </si>
  <si>
    <t>Blended Cost of Confirmation Financing</t>
  </si>
  <si>
    <t>Confirmation Cost per kW, before time-value of investment (for reference)</t>
  </si>
  <si>
    <t>Power Plant Cost per kW, before IDC (for reference)</t>
  </si>
  <si>
    <t>Total Installed Cost, including time value of money</t>
  </si>
  <si>
    <t>Reserves, Lender Fees &amp; Closing Costs</t>
  </si>
  <si>
    <t>Intermediate</t>
  </si>
  <si>
    <t>Version 1.4 removes CREST's password protection. The authors strongly recommend that you save a copy of the model in its original form.  Once altered, modeling results cannot be warranted by NREL or SEA.  For model customization support, please contact Sustainable Energy Advantage, LLC.</t>
  </si>
  <si>
    <t>Update Notice:</t>
  </si>
  <si>
    <t>Geothermal, 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</si>
</sst>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Project&quot;\ #"/>
    <numFmt numFmtId="167" formatCode="0\ &quot;kW&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0.0"/>
    <numFmt numFmtId="177" formatCode="_(* #,##0.0_);_(* \(#,##0.0\);_(* &quot;-&quot;??_);_(@_)"/>
    <numFmt numFmtId="178" formatCode="_(* #,##0_);_(* \(#,##0\);_(* &quot;-&quot;?_);_(@_)"/>
    <numFmt numFmtId="179" formatCode="&quot;Net Present Value @&quot;\ #.##%\ &quot;(over defined Useful Life)&quot;"/>
  </numFmts>
  <fonts count="100">
    <font>
      <sz val="11"/>
      <color theme="1"/>
      <name val="Calibri"/>
      <family val="2"/>
      <scheme val="minor"/>
    </font>
    <font>
      <sz val="12"/>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theme="1"/>
      <name val="Calibri"/>
      <family val="2"/>
      <scheme val="minor"/>
    </font>
    <font>
      <b/>
      <sz val="14"/>
      <color theme="1"/>
      <name val="Calibri"/>
      <family val="2"/>
      <scheme val="minor"/>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2"/>
      <color theme="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b/>
      <sz val="14"/>
      <color rgb="FFFF0000"/>
      <name val="Calibri"/>
      <family val="2"/>
      <scheme val="minor"/>
    </font>
    <font>
      <i/>
      <sz val="10"/>
      <color theme="0" tint="-0.499984740745262"/>
      <name val="Arial"/>
      <family val="2"/>
    </font>
    <font>
      <b/>
      <u/>
      <sz val="12"/>
      <color theme="0"/>
      <name val="Arial"/>
      <family val="2"/>
    </font>
    <font>
      <i/>
      <sz val="11"/>
      <color theme="0" tint="-0.34998626667073579"/>
      <name val="Arial"/>
      <family val="2"/>
    </font>
    <font>
      <b/>
      <sz val="8"/>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u/>
      <sz val="12"/>
      <color theme="1"/>
      <name val="Calibri"/>
      <family val="2"/>
      <scheme val="minor"/>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i/>
      <u/>
      <sz val="12"/>
      <color theme="1"/>
      <name val="Calibri"/>
      <family val="2"/>
      <scheme val="minor"/>
    </font>
    <font>
      <b/>
      <sz val="12"/>
      <color theme="3"/>
      <name val="Calibri"/>
      <family val="2"/>
      <scheme val="minor"/>
    </font>
    <font>
      <u/>
      <sz val="12"/>
      <color theme="10"/>
      <name val="Calibri"/>
      <family val="2"/>
    </font>
    <font>
      <b/>
      <sz val="12"/>
      <color theme="1"/>
      <name val="Tahoma"/>
      <family val="2"/>
    </font>
    <font>
      <b/>
      <i/>
      <sz val="12"/>
      <color theme="1"/>
      <name val="Calibri"/>
      <family val="2"/>
      <scheme val="minor"/>
    </font>
    <font>
      <b/>
      <u/>
      <sz val="14"/>
      <color theme="10"/>
      <name val="Calibri"/>
      <family val="2"/>
    </font>
    <font>
      <b/>
      <i/>
      <sz val="11"/>
      <color theme="1"/>
      <name val="Calibri"/>
      <family val="2"/>
      <scheme val="minor"/>
    </font>
    <font>
      <sz val="11"/>
      <color theme="1"/>
      <name val="Calibri"/>
      <family val="2"/>
    </font>
    <font>
      <b/>
      <sz val="16"/>
      <color indexed="81"/>
      <name val="Tahoma"/>
      <family val="2"/>
    </font>
    <font>
      <i/>
      <sz val="14"/>
      <color theme="1"/>
      <name val="Arial"/>
      <family val="2"/>
    </font>
    <font>
      <sz val="14"/>
      <color theme="1"/>
      <name val="Arial"/>
      <family val="2"/>
    </font>
    <font>
      <b/>
      <sz val="10"/>
      <name val="Arial"/>
      <family val="2"/>
    </font>
    <font>
      <b/>
      <sz val="12"/>
      <color theme="3" tint="0.39997558519241921"/>
      <name val="Arial"/>
      <family val="2"/>
    </font>
    <font>
      <b/>
      <i/>
      <sz val="14"/>
      <name val="Arial"/>
      <family val="2"/>
    </font>
    <font>
      <b/>
      <i/>
      <u/>
      <sz val="12"/>
      <color theme="10"/>
      <name val="Arial"/>
      <family val="2"/>
    </font>
    <font>
      <b/>
      <i/>
      <sz val="12"/>
      <color theme="3"/>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xf numFmtId="9" fontId="20" fillId="0" borderId="0" applyFont="0" applyFill="0" applyBorder="0" applyAlignment="0" applyProtection="0"/>
    <xf numFmtId="43" fontId="2" fillId="0" borderId="0" applyFont="0" applyFill="0" applyBorder="0" applyAlignment="0" applyProtection="0"/>
  </cellStyleXfs>
  <cellXfs count="922">
    <xf numFmtId="0" fontId="0" fillId="0" borderId="0" xfId="0"/>
    <xf numFmtId="0" fontId="6" fillId="0" borderId="0" xfId="0" applyFont="1" applyFill="1" applyBorder="1"/>
    <xf numFmtId="0" fontId="3" fillId="5" borderId="1" xfId="0" applyNumberFormat="1" applyFont="1" applyFill="1" applyBorder="1" applyAlignment="1">
      <alignment horizontal="left"/>
    </xf>
    <xf numFmtId="0" fontId="10" fillId="5" borderId="2" xfId="0" applyNumberFormat="1" applyFont="1" applyFill="1" applyBorder="1" applyAlignment="1">
      <alignment horizontal="center"/>
    </xf>
    <xf numFmtId="166" fontId="11" fillId="5" borderId="3" xfId="0" applyNumberFormat="1" applyFont="1" applyFill="1" applyBorder="1" applyAlignment="1">
      <alignment horizontal="center"/>
    </xf>
    <xf numFmtId="0" fontId="6" fillId="2" borderId="4" xfId="0" applyNumberFormat="1" applyFont="1" applyFill="1" applyBorder="1" applyAlignment="1"/>
    <xf numFmtId="3" fontId="3" fillId="5" borderId="1" xfId="0" applyNumberFormat="1" applyFont="1" applyFill="1" applyBorder="1" applyAlignment="1">
      <alignment horizontal="left"/>
    </xf>
    <xf numFmtId="0" fontId="0" fillId="0" borderId="0" xfId="0" applyBorder="1"/>
    <xf numFmtId="0" fontId="3" fillId="0" borderId="0" xfId="0" applyFont="1" applyFill="1" applyBorder="1" applyAlignment="1">
      <alignment horizontal="center"/>
    </xf>
    <xf numFmtId="9" fontId="9" fillId="0" borderId="0" xfId="0" applyNumberFormat="1" applyFont="1" applyFill="1" applyBorder="1" applyAlignment="1">
      <alignment horizontal="center"/>
    </xf>
    <xf numFmtId="0" fontId="0" fillId="0" borderId="0" xfId="0" applyFill="1" applyBorder="1"/>
    <xf numFmtId="0" fontId="6" fillId="0" borderId="0" xfId="0" applyNumberFormat="1" applyFont="1" applyAlignment="1"/>
    <xf numFmtId="0" fontId="3" fillId="0" borderId="0" xfId="0" applyNumberFormat="1" applyFont="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172" fontId="6" fillId="0" borderId="0" xfId="0" applyNumberFormat="1" applyFont="1" applyAlignment="1"/>
    <xf numFmtId="0" fontId="3" fillId="0" borderId="0" xfId="0" applyNumberFormat="1" applyFont="1" applyAlignment="1"/>
    <xf numFmtId="3" fontId="6" fillId="0" borderId="0" xfId="0" applyNumberFormat="1" applyFont="1" applyAlignment="1"/>
    <xf numFmtId="0" fontId="6" fillId="0" borderId="0" xfId="0" applyNumberFormat="1" applyFont="1" applyFill="1" applyBorder="1" applyAlignment="1"/>
    <xf numFmtId="168" fontId="6" fillId="0" borderId="0" xfId="0" applyNumberFormat="1" applyFont="1" applyBorder="1" applyAlignment="1"/>
    <xf numFmtId="0" fontId="6" fillId="0" borderId="0" xfId="0" applyNumberFormat="1" applyFont="1" applyBorder="1" applyAlignment="1"/>
    <xf numFmtId="0" fontId="6" fillId="0" borderId="9" xfId="0" applyNumberFormat="1" applyFont="1" applyFill="1" applyBorder="1" applyAlignment="1"/>
    <xf numFmtId="0" fontId="6" fillId="0" borderId="9" xfId="0" applyNumberFormat="1" applyFont="1" applyBorder="1" applyAlignment="1"/>
    <xf numFmtId="168" fontId="3" fillId="0" borderId="0" xfId="0" applyNumberFormat="1" applyFont="1" applyAlignment="1"/>
    <xf numFmtId="6" fontId="6" fillId="0" borderId="0" xfId="0" applyNumberFormat="1" applyFont="1" applyFill="1" applyBorder="1" applyAlignment="1"/>
    <xf numFmtId="6" fontId="6" fillId="0" borderId="9" xfId="0" applyNumberFormat="1" applyFont="1" applyFill="1" applyBorder="1" applyAlignment="1"/>
    <xf numFmtId="0" fontId="3" fillId="0" borderId="0" xfId="0" applyNumberFormat="1" applyFont="1" applyFill="1" applyBorder="1" applyAlignment="1"/>
    <xf numFmtId="6" fontId="3" fillId="0" borderId="0" xfId="0" applyNumberFormat="1" applyFont="1" applyAlignment="1"/>
    <xf numFmtId="0" fontId="4" fillId="0" borderId="0" xfId="0" applyNumberFormat="1" applyFont="1" applyFill="1" applyBorder="1" applyAlignment="1"/>
    <xf numFmtId="0" fontId="4" fillId="0" borderId="0" xfId="0" applyNumberFormat="1" applyFont="1" applyAlignment="1"/>
    <xf numFmtId="0" fontId="4" fillId="0" borderId="0" xfId="0" applyNumberFormat="1" applyFont="1" applyFill="1" applyAlignment="1"/>
    <xf numFmtId="40" fontId="4" fillId="0" borderId="0" xfId="0" applyNumberFormat="1" applyFont="1" applyFill="1" applyAlignment="1">
      <alignment horizontal="center"/>
    </xf>
    <xf numFmtId="0" fontId="3" fillId="0" borderId="0" xfId="0" applyNumberFormat="1" applyFont="1" applyFill="1" applyAlignment="1"/>
    <xf numFmtId="6" fontId="3" fillId="0" borderId="0" xfId="0" applyNumberFormat="1" applyFont="1" applyFill="1" applyAlignment="1"/>
    <xf numFmtId="0" fontId="3" fillId="0" borderId="0" xfId="0" applyNumberFormat="1" applyFont="1" applyAlignment="1">
      <alignment wrapText="1"/>
    </xf>
    <xf numFmtId="6" fontId="6" fillId="0" borderId="0" xfId="0" applyNumberFormat="1" applyFont="1" applyAlignment="1"/>
    <xf numFmtId="6" fontId="6" fillId="0" borderId="9" xfId="0" applyNumberFormat="1" applyFont="1" applyBorder="1" applyAlignment="1"/>
    <xf numFmtId="0" fontId="21" fillId="0" borderId="0" xfId="0" applyNumberFormat="1" applyFont="1" applyAlignment="1">
      <alignment wrapText="1"/>
    </xf>
    <xf numFmtId="164" fontId="4" fillId="0" borderId="0" xfId="2" applyNumberFormat="1" applyFont="1" applyAlignment="1"/>
    <xf numFmtId="6" fontId="31" fillId="0" borderId="0" xfId="0" applyNumberFormat="1" applyFont="1" applyFill="1" applyAlignment="1">
      <alignment horizontal="center"/>
    </xf>
    <xf numFmtId="0" fontId="3" fillId="0" borderId="22" xfId="0" applyNumberFormat="1" applyFont="1" applyBorder="1" applyAlignment="1"/>
    <xf numFmtId="0" fontId="6" fillId="0" borderId="22" xfId="0" applyNumberFormat="1" applyFont="1" applyBorder="1" applyAlignment="1"/>
    <xf numFmtId="0" fontId="3" fillId="9" borderId="0" xfId="0" applyNumberFormat="1" applyFont="1" applyFill="1" applyBorder="1" applyAlignment="1"/>
    <xf numFmtId="0" fontId="6" fillId="9" borderId="0" xfId="0" applyNumberFormat="1" applyFont="1" applyFill="1" applyBorder="1" applyAlignment="1"/>
    <xf numFmtId="6" fontId="6" fillId="9" borderId="0" xfId="0" applyNumberFormat="1" applyFont="1" applyFill="1" applyBorder="1" applyAlignment="1"/>
    <xf numFmtId="0" fontId="21" fillId="9" borderId="0" xfId="0" applyNumberFormat="1" applyFont="1" applyFill="1" applyBorder="1" applyAlignment="1">
      <alignment horizontal="center"/>
    </xf>
    <xf numFmtId="0" fontId="6" fillId="9" borderId="0" xfId="0" applyNumberFormat="1" applyFont="1" applyFill="1" applyAlignment="1"/>
    <xf numFmtId="0" fontId="0" fillId="0" borderId="0" xfId="0" applyNumberFormat="1" applyAlignment="1"/>
    <xf numFmtId="0" fontId="25" fillId="0" borderId="0" xfId="0" applyFont="1" applyFill="1" applyAlignment="1">
      <alignment horizontal="center"/>
    </xf>
    <xf numFmtId="0" fontId="0" fillId="0" borderId="0" xfId="0" applyFill="1"/>
    <xf numFmtId="3" fontId="3" fillId="9" borderId="1" xfId="0" applyNumberFormat="1" applyFont="1" applyFill="1" applyBorder="1" applyAlignment="1">
      <alignment horizontal="left" vertical="center"/>
    </xf>
    <xf numFmtId="3" fontId="4"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6" fillId="2" borderId="4" xfId="0" applyNumberFormat="1" applyFont="1" applyFill="1" applyBorder="1" applyAlignment="1">
      <alignment vertical="center"/>
    </xf>
    <xf numFmtId="0" fontId="6" fillId="0" borderId="4" xfId="0" applyNumberFormat="1" applyFont="1" applyFill="1" applyBorder="1" applyAlignment="1">
      <alignment vertical="center"/>
    </xf>
    <xf numFmtId="9" fontId="3" fillId="2" borderId="5" xfId="2" applyFont="1" applyFill="1" applyBorder="1" applyAlignment="1">
      <alignment horizontal="center"/>
    </xf>
    <xf numFmtId="0" fontId="34" fillId="0" borderId="0" xfId="3" applyNumberFormat="1" applyFont="1" applyBorder="1" applyAlignment="1" applyProtection="1">
      <alignment vertical="center"/>
    </xf>
    <xf numFmtId="9" fontId="35" fillId="2" borderId="5" xfId="2" applyFont="1" applyFill="1" applyBorder="1" applyAlignment="1">
      <alignment horizontal="center"/>
    </xf>
    <xf numFmtId="0" fontId="4" fillId="0" borderId="0" xfId="0" applyNumberFormat="1" applyFont="1" applyFill="1" applyBorder="1" applyAlignment="1">
      <alignment horizontal="center"/>
    </xf>
    <xf numFmtId="9" fontId="6" fillId="2" borderId="5" xfId="2" applyFont="1" applyFill="1" applyBorder="1" applyAlignment="1">
      <alignment horizontal="center" vertical="center"/>
    </xf>
    <xf numFmtId="0" fontId="4" fillId="0" borderId="0" xfId="0" applyNumberFormat="1" applyFont="1" applyAlignment="1">
      <alignment horizontal="center"/>
    </xf>
    <xf numFmtId="0" fontId="4" fillId="0" borderId="9" xfId="0" applyNumberFormat="1" applyFont="1" applyFill="1" applyBorder="1" applyAlignment="1">
      <alignment horizontal="center"/>
    </xf>
    <xf numFmtId="0" fontId="21" fillId="0" borderId="0" xfId="0" applyNumberFormat="1" applyFont="1" applyAlignment="1">
      <alignment horizontal="center"/>
    </xf>
    <xf numFmtId="0" fontId="4" fillId="0" borderId="0" xfId="0" applyNumberFormat="1" applyFont="1" applyFill="1" applyAlignment="1">
      <alignment horizontal="center"/>
    </xf>
    <xf numFmtId="171" fontId="6" fillId="0" borderId="0" xfId="0" applyNumberFormat="1" applyFont="1" applyFill="1" applyAlignment="1">
      <alignment horizontal="center"/>
    </xf>
    <xf numFmtId="6" fontId="6" fillId="0" borderId="0" xfId="0" applyNumberFormat="1" applyFont="1" applyBorder="1" applyAlignment="1"/>
    <xf numFmtId="10" fontId="6" fillId="0" borderId="0" xfId="2" applyNumberFormat="1" applyFont="1" applyAlignment="1"/>
    <xf numFmtId="9" fontId="6" fillId="0" borderId="0" xfId="0" applyNumberFormat="1" applyFont="1" applyAlignment="1"/>
    <xf numFmtId="41" fontId="6" fillId="0" borderId="0" xfId="0" applyNumberFormat="1" applyFont="1" applyAlignment="1"/>
    <xf numFmtId="2" fontId="31" fillId="0" borderId="0" xfId="0" applyNumberFormat="1" applyFont="1" applyFill="1" applyAlignment="1">
      <alignment horizontal="center"/>
    </xf>
    <xf numFmtId="0" fontId="6" fillId="9" borderId="22" xfId="0" applyNumberFormat="1" applyFont="1" applyFill="1" applyBorder="1" applyAlignment="1"/>
    <xf numFmtId="2" fontId="4" fillId="0" borderId="0" xfId="0" applyNumberFormat="1" applyFont="1" applyBorder="1" applyAlignment="1"/>
    <xf numFmtId="0" fontId="4" fillId="0" borderId="0" xfId="0" applyNumberFormat="1" applyFont="1" applyBorder="1" applyAlignment="1">
      <alignment horizontal="center"/>
    </xf>
    <xf numFmtId="0" fontId="6" fillId="0" borderId="22" xfId="0" applyFont="1" applyFill="1" applyBorder="1"/>
    <xf numFmtId="8" fontId="4" fillId="0" borderId="0" xfId="0" applyNumberFormat="1" applyFont="1" applyFill="1" applyBorder="1" applyAlignment="1">
      <alignment horizontal="center"/>
    </xf>
    <xf numFmtId="0" fontId="38" fillId="4" borderId="1" xfId="0" applyFont="1" applyFill="1" applyBorder="1" applyAlignment="1">
      <alignment horizontal="left" vertical="center"/>
    </xf>
    <xf numFmtId="0" fontId="25" fillId="4" borderId="2" xfId="0" applyFont="1" applyFill="1" applyBorder="1" applyAlignment="1">
      <alignment horizontal="center"/>
    </xf>
    <xf numFmtId="0" fontId="39" fillId="6" borderId="1" xfId="0" applyFont="1" applyFill="1" applyBorder="1"/>
    <xf numFmtId="0" fontId="40" fillId="6" borderId="2" xfId="0" applyFont="1" applyFill="1" applyBorder="1"/>
    <xf numFmtId="0" fontId="41" fillId="6" borderId="2" xfId="0" applyFont="1" applyFill="1" applyBorder="1" applyAlignment="1">
      <alignment horizontal="center"/>
    </xf>
    <xf numFmtId="9" fontId="24" fillId="0" borderId="4" xfId="0" applyNumberFormat="1" applyFont="1" applyFill="1" applyBorder="1" applyAlignment="1">
      <alignment horizontal="center"/>
    </xf>
    <xf numFmtId="0" fontId="4" fillId="4" borderId="3" xfId="0" applyNumberFormat="1" applyFont="1" applyFill="1" applyBorder="1" applyAlignment="1">
      <alignment horizontal="center" vertical="center"/>
    </xf>
    <xf numFmtId="9" fontId="6" fillId="0" borderId="0" xfId="2" applyFont="1" applyFill="1" applyBorder="1" applyAlignment="1">
      <alignment horizontal="center" vertical="center"/>
    </xf>
    <xf numFmtId="0" fontId="40" fillId="6" borderId="3" xfId="0" applyFont="1" applyFill="1" applyBorder="1"/>
    <xf numFmtId="0" fontId="6" fillId="2" borderId="5" xfId="0" applyNumberFormat="1" applyFont="1" applyFill="1" applyBorder="1" applyAlignment="1">
      <alignment vertical="center"/>
    </xf>
    <xf numFmtId="168" fontId="6" fillId="0" borderId="5" xfId="1" applyNumberFormat="1" applyFont="1" applyBorder="1" applyAlignment="1">
      <alignment horizontal="center" vertical="center"/>
    </xf>
    <xf numFmtId="0" fontId="0" fillId="0" borderId="4" xfId="0" applyFill="1" applyBorder="1"/>
    <xf numFmtId="0" fontId="4" fillId="9" borderId="29" xfId="0" applyNumberFormat="1" applyFont="1" applyFill="1" applyBorder="1" applyAlignment="1">
      <alignment horizontal="center" vertical="center"/>
    </xf>
    <xf numFmtId="0" fontId="4" fillId="9" borderId="29" xfId="0" applyNumberFormat="1" applyFont="1" applyFill="1" applyBorder="1" applyAlignment="1">
      <alignment horizontal="center" vertical="center" wrapText="1"/>
    </xf>
    <xf numFmtId="0" fontId="33" fillId="2" borderId="0" xfId="0" applyNumberFormat="1" applyFont="1" applyFill="1" applyBorder="1" applyAlignment="1">
      <alignment vertical="center"/>
    </xf>
    <xf numFmtId="9" fontId="7" fillId="2" borderId="0" xfId="2" applyFont="1" applyFill="1" applyBorder="1" applyAlignment="1">
      <alignment horizontal="center" vertical="center"/>
    </xf>
    <xf numFmtId="9" fontId="24" fillId="0" borderId="0" xfId="0" applyNumberFormat="1" applyFont="1" applyFill="1" applyBorder="1" applyAlignment="1">
      <alignment horizontal="center"/>
    </xf>
    <xf numFmtId="0" fontId="6" fillId="0" borderId="0" xfId="0" applyNumberFormat="1" applyFont="1" applyFill="1" applyBorder="1" applyAlignment="1">
      <alignment vertical="center"/>
    </xf>
    <xf numFmtId="168" fontId="6" fillId="0" borderId="0" xfId="1" applyNumberFormat="1" applyFont="1" applyFill="1" applyBorder="1" applyAlignment="1">
      <alignment horizontal="center" vertical="center"/>
    </xf>
    <xf numFmtId="0" fontId="33" fillId="0" borderId="0" xfId="0" applyNumberFormat="1" applyFont="1" applyFill="1" applyBorder="1" applyAlignment="1">
      <alignment vertical="center"/>
    </xf>
    <xf numFmtId="168"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0" fontId="3" fillId="9" borderId="30" xfId="0" applyNumberFormat="1" applyFont="1" applyFill="1" applyBorder="1" applyAlignment="1">
      <alignment vertical="center"/>
    </xf>
    <xf numFmtId="168" fontId="6"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6" fillId="0" borderId="5" xfId="0" applyNumberFormat="1" applyFont="1" applyFill="1" applyBorder="1" applyAlignment="1">
      <alignment vertical="center"/>
    </xf>
    <xf numFmtId="6" fontId="6" fillId="0" borderId="28" xfId="0" applyNumberFormat="1" applyFont="1" applyFill="1" applyBorder="1" applyAlignment="1">
      <alignment vertical="center"/>
    </xf>
    <xf numFmtId="168" fontId="6" fillId="0" borderId="5" xfId="0" applyNumberFormat="1" applyFont="1" applyFill="1" applyBorder="1" applyAlignment="1">
      <alignment vertical="center"/>
    </xf>
    <xf numFmtId="168" fontId="3" fillId="0" borderId="5" xfId="0" applyNumberFormat="1" applyFont="1" applyFill="1" applyBorder="1" applyAlignment="1">
      <alignment vertical="center"/>
    </xf>
    <xf numFmtId="168" fontId="6" fillId="0" borderId="4" xfId="2" applyNumberFormat="1" applyFont="1" applyFill="1" applyBorder="1" applyAlignment="1">
      <alignment vertical="center"/>
    </xf>
    <xf numFmtId="9" fontId="35" fillId="0" borderId="0" xfId="2" applyFont="1" applyFill="1" applyBorder="1" applyAlignment="1">
      <alignment horizontal="center"/>
    </xf>
    <xf numFmtId="165" fontId="7" fillId="0" borderId="0" xfId="1" applyNumberFormat="1" applyFont="1" applyBorder="1" applyAlignment="1">
      <alignment horizontal="center" vertical="center"/>
    </xf>
    <xf numFmtId="168" fontId="6" fillId="0" borderId="4" xfId="1" applyNumberFormat="1" applyFont="1" applyBorder="1" applyAlignment="1">
      <alignment horizontal="center" vertical="center"/>
    </xf>
    <xf numFmtId="0" fontId="6" fillId="2" borderId="28" xfId="0" applyNumberFormat="1" applyFont="1" applyFill="1" applyBorder="1" applyAlignment="1">
      <alignment vertical="center"/>
    </xf>
    <xf numFmtId="168" fontId="6" fillId="0" borderId="28" xfId="1" applyNumberFormat="1" applyFont="1" applyBorder="1" applyAlignment="1">
      <alignment horizontal="center" vertical="center"/>
    </xf>
    <xf numFmtId="168" fontId="6" fillId="0" borderId="28" xfId="2"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168" fontId="6" fillId="0" borderId="28" xfId="0" applyNumberFormat="1" applyFont="1" applyFill="1" applyBorder="1" applyAlignment="1">
      <alignment vertical="center"/>
    </xf>
    <xf numFmtId="168" fontId="6" fillId="0" borderId="5" xfId="2" applyNumberFormat="1" applyFont="1" applyFill="1" applyBorder="1" applyAlignment="1">
      <alignment vertical="center"/>
    </xf>
    <xf numFmtId="0" fontId="6" fillId="0" borderId="5" xfId="0" applyNumberFormat="1" applyFont="1" applyFill="1" applyBorder="1" applyAlignment="1">
      <alignment horizontal="right" vertical="center"/>
    </xf>
    <xf numFmtId="9" fontId="24" fillId="2" borderId="5" xfId="2" applyFont="1" applyFill="1" applyBorder="1" applyAlignment="1">
      <alignment horizontal="center" vertical="center"/>
    </xf>
    <xf numFmtId="0" fontId="42" fillId="2" borderId="4" xfId="0" applyNumberFormat="1" applyFont="1" applyFill="1" applyBorder="1" applyAlignment="1">
      <alignment vertical="center"/>
    </xf>
    <xf numFmtId="168" fontId="24" fillId="0" borderId="4" xfId="1" applyNumberFormat="1" applyFont="1" applyBorder="1" applyAlignment="1">
      <alignment horizontal="center" vertical="center"/>
    </xf>
    <xf numFmtId="0" fontId="42" fillId="2" borderId="28" xfId="0" applyNumberFormat="1" applyFont="1" applyFill="1" applyBorder="1" applyAlignment="1">
      <alignment vertical="center"/>
    </xf>
    <xf numFmtId="168" fontId="24" fillId="0" borderId="28" xfId="1" applyNumberFormat="1" applyFont="1" applyBorder="1" applyAlignment="1">
      <alignment horizontal="center" vertical="center"/>
    </xf>
    <xf numFmtId="9" fontId="24" fillId="2" borderId="28" xfId="2" applyFont="1" applyFill="1" applyBorder="1" applyAlignment="1">
      <alignment horizontal="center" vertical="center"/>
    </xf>
    <xf numFmtId="0" fontId="43" fillId="0" borderId="0" xfId="0" applyFont="1" applyFill="1" applyBorder="1"/>
    <xf numFmtId="168" fontId="6" fillId="0" borderId="9" xfId="0" applyNumberFormat="1" applyFont="1" applyFill="1" applyBorder="1" applyAlignment="1"/>
    <xf numFmtId="0" fontId="46" fillId="0" borderId="0" xfId="0" applyFont="1" applyBorder="1"/>
    <xf numFmtId="0" fontId="47" fillId="0" borderId="0" xfId="0" applyFont="1" applyBorder="1"/>
    <xf numFmtId="0" fontId="45"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xf numFmtId="0" fontId="45" fillId="0" borderId="0" xfId="0" applyFont="1" applyBorder="1" applyAlignment="1">
      <alignment wrapText="1"/>
    </xf>
    <xf numFmtId="0" fontId="45" fillId="0" borderId="0" xfId="0" applyFont="1" applyBorder="1"/>
    <xf numFmtId="0" fontId="45" fillId="0" borderId="0" xfId="0" applyFont="1" applyFill="1" applyBorder="1" applyAlignment="1">
      <alignment wrapText="1"/>
    </xf>
    <xf numFmtId="0" fontId="45" fillId="0" borderId="0" xfId="0" applyFont="1" applyFill="1" applyBorder="1" applyAlignment="1"/>
    <xf numFmtId="0" fontId="29" fillId="0" borderId="0" xfId="0" applyFont="1" applyBorder="1" applyAlignment="1">
      <alignment wrapText="1"/>
    </xf>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51" fillId="5" borderId="19" xfId="0" applyFont="1" applyFill="1" applyBorder="1" applyAlignment="1">
      <alignment horizontal="center" wrapText="1"/>
    </xf>
    <xf numFmtId="0" fontId="51" fillId="5" borderId="11" xfId="0" applyFont="1" applyFill="1" applyBorder="1" applyAlignment="1">
      <alignment horizontal="center" wrapText="1"/>
    </xf>
    <xf numFmtId="0" fontId="51" fillId="5" borderId="20" xfId="0" applyFont="1" applyFill="1" applyBorder="1" applyAlignment="1">
      <alignment horizontal="center" wrapText="1"/>
    </xf>
    <xf numFmtId="0" fontId="51" fillId="5" borderId="17" xfId="0" applyFont="1" applyFill="1" applyBorder="1" applyAlignment="1">
      <alignment horizontal="center"/>
    </xf>
    <xf numFmtId="0" fontId="51" fillId="5" borderId="0" xfId="0" applyFont="1" applyFill="1" applyBorder="1" applyAlignment="1">
      <alignment horizontal="center"/>
    </xf>
    <xf numFmtId="0" fontId="51" fillId="5" borderId="9" xfId="0" applyFont="1" applyFill="1" applyBorder="1" applyAlignment="1">
      <alignment horizontal="center"/>
    </xf>
    <xf numFmtId="0" fontId="51" fillId="5" borderId="18" xfId="0" applyFont="1" applyFill="1" applyBorder="1" applyAlignment="1">
      <alignment horizontal="center"/>
    </xf>
    <xf numFmtId="0" fontId="49" fillId="0" borderId="19" xfId="0" applyFont="1" applyBorder="1" applyAlignment="1">
      <alignment horizontal="center"/>
    </xf>
    <xf numFmtId="0" fontId="49" fillId="0" borderId="11" xfId="0" applyFont="1" applyBorder="1" applyAlignment="1">
      <alignment horizontal="center"/>
    </xf>
    <xf numFmtId="0" fontId="49" fillId="0" borderId="11" xfId="0" applyFont="1" applyBorder="1"/>
    <xf numFmtId="6" fontId="49" fillId="0" borderId="0" xfId="0" applyNumberFormat="1" applyFont="1" applyBorder="1" applyAlignment="1">
      <alignment horizontal="center" wrapText="1"/>
    </xf>
    <xf numFmtId="0" fontId="49" fillId="0" borderId="0" xfId="0" applyFont="1" applyFill="1" applyBorder="1"/>
    <xf numFmtId="0" fontId="49" fillId="0" borderId="17" xfId="0" applyFont="1" applyBorder="1" applyAlignment="1">
      <alignment horizontal="center"/>
    </xf>
    <xf numFmtId="2" fontId="49" fillId="0" borderId="0" xfId="0" applyNumberFormat="1" applyFont="1" applyBorder="1" applyAlignment="1">
      <alignment horizontal="center" wrapText="1"/>
    </xf>
    <xf numFmtId="10" fontId="49" fillId="0" borderId="0" xfId="2" applyNumberFormat="1" applyFont="1" applyBorder="1" applyAlignment="1">
      <alignment horizontal="center" wrapText="1"/>
    </xf>
    <xf numFmtId="2" fontId="49" fillId="0" borderId="18" xfId="2" applyNumberFormat="1" applyFont="1" applyBorder="1" applyAlignment="1">
      <alignment horizontal="center" wrapText="1"/>
    </xf>
    <xf numFmtId="0" fontId="49" fillId="0" borderId="0" xfId="0" applyFont="1" applyFill="1" applyBorder="1" applyAlignment="1">
      <alignment wrapText="1"/>
    </xf>
    <xf numFmtId="0" fontId="49" fillId="0" borderId="0" xfId="0" applyFont="1" applyAlignment="1">
      <alignment wrapText="1"/>
    </xf>
    <xf numFmtId="0" fontId="49" fillId="0" borderId="17" xfId="0" applyFont="1" applyBorder="1" applyAlignment="1">
      <alignment horizontal="center" wrapText="1"/>
    </xf>
    <xf numFmtId="0" fontId="49" fillId="0" borderId="15" xfId="0" applyFont="1" applyBorder="1"/>
    <xf numFmtId="0" fontId="49" fillId="0" borderId="9" xfId="0" applyFont="1" applyBorder="1"/>
    <xf numFmtId="0" fontId="51" fillId="4" borderId="1" xfId="0" applyFont="1" applyFill="1" applyBorder="1" applyAlignment="1">
      <alignment horizontal="left" vertical="center"/>
    </xf>
    <xf numFmtId="0" fontId="49" fillId="4" borderId="2" xfId="0" applyFont="1" applyFill="1" applyBorder="1" applyAlignment="1">
      <alignment horizontal="left" vertical="center"/>
    </xf>
    <xf numFmtId="0" fontId="52" fillId="4" borderId="2" xfId="0" applyFont="1" applyFill="1" applyBorder="1" applyAlignment="1">
      <alignment horizontal="left" vertical="center"/>
    </xf>
    <xf numFmtId="167" fontId="52" fillId="4" borderId="2" xfId="0" applyNumberFormat="1" applyFont="1" applyFill="1" applyBorder="1" applyAlignment="1">
      <alignment horizontal="left" vertical="center"/>
    </xf>
    <xf numFmtId="0" fontId="52" fillId="4" borderId="3" xfId="0" applyFont="1" applyFill="1" applyBorder="1" applyAlignment="1">
      <alignment horizontal="left" vertical="center"/>
    </xf>
    <xf numFmtId="0" fontId="52" fillId="0" borderId="0" xfId="0" applyFont="1" applyFill="1" applyBorder="1" applyAlignment="1">
      <alignment horizontal="center"/>
    </xf>
    <xf numFmtId="168" fontId="52" fillId="0" borderId="0" xfId="0" applyNumberFormat="1" applyFont="1" applyFill="1" applyBorder="1" applyAlignment="1">
      <alignment horizontal="center"/>
    </xf>
    <xf numFmtId="0" fontId="52" fillId="0" borderId="0" xfId="0" applyFont="1" applyFill="1" applyBorder="1"/>
    <xf numFmtId="0" fontId="53" fillId="0" borderId="11" xfId="0" applyFont="1" applyFill="1" applyBorder="1"/>
    <xf numFmtId="0" fontId="53" fillId="0" borderId="20" xfId="0" applyFont="1" applyFill="1" applyBorder="1"/>
    <xf numFmtId="6" fontId="54" fillId="0" borderId="9" xfId="0" applyNumberFormat="1" applyFont="1" applyFill="1" applyBorder="1" applyAlignment="1">
      <alignment horizontal="center" wrapText="1"/>
    </xf>
    <xf numFmtId="6" fontId="54" fillId="0" borderId="16" xfId="0" applyNumberFormat="1" applyFont="1" applyFill="1" applyBorder="1" applyAlignment="1">
      <alignment horizontal="center" wrapText="1"/>
    </xf>
    <xf numFmtId="6" fontId="54" fillId="0" borderId="0" xfId="0" applyNumberFormat="1" applyFont="1" applyFill="1" applyBorder="1" applyAlignment="1">
      <alignment horizontal="center" wrapText="1"/>
    </xf>
    <xf numFmtId="0" fontId="50" fillId="8" borderId="12" xfId="0" applyFont="1" applyFill="1" applyBorder="1" applyAlignment="1">
      <alignment vertical="center"/>
    </xf>
    <xf numFmtId="0" fontId="50" fillId="8" borderId="13" xfId="0" applyFont="1" applyFill="1" applyBorder="1" applyAlignment="1">
      <alignment vertical="center"/>
    </xf>
    <xf numFmtId="0" fontId="50" fillId="8" borderId="14" xfId="0" applyFont="1" applyFill="1" applyBorder="1" applyAlignment="1">
      <alignment vertical="center"/>
    </xf>
    <xf numFmtId="0" fontId="51" fillId="0" borderId="17" xfId="0" applyFont="1" applyBorder="1"/>
    <xf numFmtId="0" fontId="55" fillId="0" borderId="0" xfId="0" applyFont="1" applyBorder="1" applyAlignment="1">
      <alignment horizontal="center"/>
    </xf>
    <xf numFmtId="0" fontId="51" fillId="0" borderId="15" xfId="0" applyFont="1" applyBorder="1"/>
    <xf numFmtId="0" fontId="55" fillId="0" borderId="9" xfId="0" applyFont="1" applyBorder="1" applyAlignment="1">
      <alignment horizontal="center"/>
    </xf>
    <xf numFmtId="0" fontId="55" fillId="0" borderId="0" xfId="0" applyFont="1" applyAlignment="1">
      <alignment horizontal="center" wrapText="1"/>
    </xf>
    <xf numFmtId="0" fontId="49" fillId="0" borderId="0" xfId="0" applyFont="1" applyBorder="1" applyAlignment="1">
      <alignment wrapText="1"/>
    </xf>
    <xf numFmtId="0" fontId="44" fillId="5" borderId="12" xfId="0" applyFont="1" applyFill="1" applyBorder="1"/>
    <xf numFmtId="0" fontId="49" fillId="0" borderId="0" xfId="0" applyFont="1" applyFill="1" applyBorder="1" applyAlignment="1">
      <alignment horizontal="center"/>
    </xf>
    <xf numFmtId="0" fontId="49" fillId="0" borderId="0" xfId="0" applyFont="1" applyBorder="1" applyAlignment="1">
      <alignment horizontal="center"/>
    </xf>
    <xf numFmtId="167" fontId="49" fillId="0" borderId="0" xfId="0" applyNumberFormat="1" applyFont="1" applyFill="1" applyBorder="1" applyAlignment="1">
      <alignment horizontal="center"/>
    </xf>
    <xf numFmtId="164" fontId="49" fillId="0" borderId="21" xfId="2" applyNumberFormat="1" applyFont="1" applyBorder="1" applyAlignment="1">
      <alignment horizontal="center"/>
    </xf>
    <xf numFmtId="164" fontId="49" fillId="0" borderId="0" xfId="2" applyNumberFormat="1" applyFont="1" applyFill="1" applyBorder="1" applyAlignment="1">
      <alignment horizontal="center"/>
    </xf>
    <xf numFmtId="0" fontId="49" fillId="0" borderId="21" xfId="0" applyFont="1" applyBorder="1" applyAlignment="1">
      <alignment horizontal="center"/>
    </xf>
    <xf numFmtId="168" fontId="49" fillId="0" borderId="21" xfId="0" applyNumberFormat="1" applyFont="1" applyBorder="1" applyAlignment="1">
      <alignment horizontal="center"/>
    </xf>
    <xf numFmtId="168" fontId="49" fillId="0" borderId="0" xfId="0" applyNumberFormat="1" applyFont="1" applyFill="1" applyBorder="1" applyAlignment="1">
      <alignment horizontal="center"/>
    </xf>
    <xf numFmtId="0" fontId="55" fillId="0" borderId="0" xfId="0" applyFont="1" applyBorder="1" applyAlignment="1">
      <alignment horizontal="center" wrapText="1"/>
    </xf>
    <xf numFmtId="170" fontId="49" fillId="0" borderId="0" xfId="0" applyNumberFormat="1" applyFont="1" applyFill="1" applyBorder="1" applyAlignment="1">
      <alignment horizontal="center"/>
    </xf>
    <xf numFmtId="9" fontId="49" fillId="0" borderId="21" xfId="0" applyNumberFormat="1" applyFont="1" applyBorder="1" applyAlignment="1">
      <alignment horizontal="center"/>
    </xf>
    <xf numFmtId="9" fontId="49" fillId="0" borderId="0" xfId="0" applyNumberFormat="1" applyFont="1" applyFill="1" applyBorder="1" applyAlignment="1">
      <alignment horizontal="center"/>
    </xf>
    <xf numFmtId="9" fontId="49" fillId="0" borderId="0" xfId="0" applyNumberFormat="1" applyFont="1" applyBorder="1" applyAlignment="1">
      <alignment horizontal="center"/>
    </xf>
    <xf numFmtId="0" fontId="49" fillId="0" borderId="0" xfId="0" applyFont="1" applyBorder="1"/>
    <xf numFmtId="0" fontId="30" fillId="5" borderId="23" xfId="0" applyFont="1" applyFill="1" applyBorder="1" applyAlignment="1">
      <alignment vertical="center"/>
    </xf>
    <xf numFmtId="0" fontId="30" fillId="5" borderId="10" xfId="0" applyFont="1" applyFill="1" applyBorder="1" applyAlignment="1">
      <alignment vertical="center"/>
    </xf>
    <xf numFmtId="0" fontId="45" fillId="5" borderId="24" xfId="0" applyFont="1" applyFill="1" applyBorder="1" applyAlignment="1">
      <alignment vertical="center"/>
    </xf>
    <xf numFmtId="0" fontId="45" fillId="8" borderId="25" xfId="0" applyFont="1" applyFill="1" applyBorder="1" applyAlignment="1">
      <alignment vertical="center"/>
    </xf>
    <xf numFmtId="0" fontId="29" fillId="8" borderId="25" xfId="0" applyFont="1" applyFill="1" applyBorder="1" applyAlignment="1">
      <alignment vertical="center"/>
    </xf>
    <xf numFmtId="0" fontId="29" fillId="8" borderId="8" xfId="0" applyFont="1" applyFill="1" applyBorder="1" applyAlignment="1">
      <alignment horizontal="left" vertical="top" wrapText="1"/>
    </xf>
    <xf numFmtId="0" fontId="45" fillId="8" borderId="0" xfId="0" applyFont="1" applyFill="1" applyBorder="1" applyAlignment="1">
      <alignment vertical="center" wrapText="1"/>
    </xf>
    <xf numFmtId="0" fontId="45" fillId="8" borderId="25" xfId="0" applyFont="1" applyFill="1" applyBorder="1" applyAlignment="1">
      <alignment vertical="center" wrapText="1"/>
    </xf>
    <xf numFmtId="0" fontId="45" fillId="8" borderId="8" xfId="0" applyFont="1" applyFill="1" applyBorder="1" applyAlignment="1"/>
    <xf numFmtId="0" fontId="45" fillId="8" borderId="0" xfId="0" applyFont="1" applyFill="1" applyBorder="1" applyAlignment="1"/>
    <xf numFmtId="0" fontId="45" fillId="8" borderId="25" xfId="0" applyFont="1" applyFill="1" applyBorder="1" applyAlignment="1"/>
    <xf numFmtId="0" fontId="29" fillId="8" borderId="8" xfId="0" applyFont="1" applyFill="1" applyBorder="1" applyAlignment="1">
      <alignment vertical="top" wrapText="1"/>
    </xf>
    <xf numFmtId="0" fontId="45" fillId="8" borderId="0" xfId="0" applyFont="1" applyFill="1" applyBorder="1" applyAlignment="1">
      <alignment wrapText="1"/>
    </xf>
    <xf numFmtId="0" fontId="45" fillId="8" borderId="25" xfId="0" applyFont="1" applyFill="1" applyBorder="1" applyAlignment="1">
      <alignment wrapText="1"/>
    </xf>
    <xf numFmtId="0" fontId="46" fillId="8" borderId="0" xfId="0" applyFont="1" applyFill="1" applyBorder="1" applyAlignment="1">
      <alignment vertical="center"/>
    </xf>
    <xf numFmtId="0" fontId="29" fillId="8" borderId="25" xfId="0" applyFont="1" applyFill="1" applyBorder="1" applyAlignment="1">
      <alignment wrapText="1"/>
    </xf>
    <xf numFmtId="0" fontId="45" fillId="8" borderId="26" xfId="0" applyFont="1" applyFill="1" applyBorder="1" applyAlignment="1"/>
    <xf numFmtId="0" fontId="45" fillId="8" borderId="22" xfId="0" applyFont="1" applyFill="1" applyBorder="1" applyAlignment="1"/>
    <xf numFmtId="0" fontId="45" fillId="8" borderId="27" xfId="0" applyFont="1" applyFill="1" applyBorder="1" applyAlignment="1"/>
    <xf numFmtId="2" fontId="49" fillId="0" borderId="0" xfId="0" applyNumberFormat="1" applyFont="1" applyBorder="1"/>
    <xf numFmtId="6" fontId="6" fillId="11" borderId="7" xfId="0" applyNumberFormat="1" applyFont="1" applyFill="1" applyBorder="1" applyAlignment="1">
      <alignment horizontal="center"/>
    </xf>
    <xf numFmtId="9" fontId="57" fillId="0" borderId="0" xfId="0" applyNumberFormat="1" applyFont="1" applyBorder="1" applyAlignment="1">
      <alignment horizontal="center"/>
    </xf>
    <xf numFmtId="0" fontId="57" fillId="0" borderId="0" xfId="0" applyFont="1" applyBorder="1" applyAlignment="1">
      <alignment horizontal="center"/>
    </xf>
    <xf numFmtId="0" fontId="50" fillId="0" borderId="0" xfId="0" applyFont="1" applyFill="1" applyBorder="1" applyAlignment="1">
      <alignment vertical="center"/>
    </xf>
    <xf numFmtId="0" fontId="49" fillId="0" borderId="0" xfId="0" applyFont="1" applyFill="1"/>
    <xf numFmtId="9" fontId="50" fillId="0" borderId="0" xfId="0" applyNumberFormat="1" applyFont="1" applyFill="1" applyBorder="1" applyAlignment="1">
      <alignment vertical="center"/>
    </xf>
    <xf numFmtId="0" fontId="49" fillId="0" borderId="0" xfId="0" applyFont="1" applyBorder="1" applyAlignment="1"/>
    <xf numFmtId="0" fontId="36" fillId="0" borderId="0" xfId="0" applyNumberFormat="1" applyFont="1" applyAlignment="1">
      <alignment horizontal="center"/>
    </xf>
    <xf numFmtId="0" fontId="6" fillId="0" borderId="0" xfId="0" applyNumberFormat="1" applyFont="1" applyFill="1" applyBorder="1" applyAlignment="1">
      <alignment horizontal="left" vertical="center"/>
    </xf>
    <xf numFmtId="9" fontId="28" fillId="0" borderId="0" xfId="0" applyNumberFormat="1" applyFont="1" applyAlignment="1">
      <alignment horizontal="center"/>
    </xf>
    <xf numFmtId="0" fontId="49" fillId="0" borderId="17" xfId="0" applyFont="1" applyFill="1" applyBorder="1"/>
    <xf numFmtId="0" fontId="4" fillId="0" borderId="4" xfId="0" applyNumberFormat="1" applyFont="1" applyBorder="1" applyAlignment="1">
      <alignment horizontal="center"/>
    </xf>
    <xf numFmtId="0" fontId="3" fillId="8" borderId="0" xfId="0" applyNumberFormat="1" applyFont="1" applyFill="1" applyAlignment="1"/>
    <xf numFmtId="0" fontId="6" fillId="8" borderId="0" xfId="0" applyNumberFormat="1" applyFont="1" applyFill="1" applyAlignment="1"/>
    <xf numFmtId="0" fontId="6" fillId="8" borderId="0" xfId="0" applyNumberFormat="1" applyFont="1" applyFill="1" applyAlignment="1">
      <alignment horizontal="center"/>
    </xf>
    <xf numFmtId="0" fontId="37" fillId="8" borderId="0" xfId="0" applyNumberFormat="1" applyFont="1" applyFill="1" applyAlignment="1"/>
    <xf numFmtId="0" fontId="22" fillId="8" borderId="0" xfId="0" applyNumberFormat="1" applyFont="1" applyFill="1" applyAlignment="1">
      <alignment horizontal="center"/>
    </xf>
    <xf numFmtId="168" fontId="6" fillId="8" borderId="0" xfId="0" applyNumberFormat="1" applyFont="1" applyFill="1" applyAlignment="1">
      <alignment horizontal="center"/>
    </xf>
    <xf numFmtId="0" fontId="7" fillId="8" borderId="0" xfId="0" applyNumberFormat="1" applyFont="1" applyFill="1" applyAlignment="1"/>
    <xf numFmtId="10" fontId="12" fillId="8" borderId="0" xfId="2" applyNumberFormat="1" applyFont="1" applyFill="1"/>
    <xf numFmtId="10" fontId="6" fillId="8" borderId="0" xfId="2" applyNumberFormat="1" applyFont="1" applyFill="1"/>
    <xf numFmtId="168" fontId="36" fillId="8" borderId="0" xfId="0" applyNumberFormat="1" applyFont="1" applyFill="1" applyAlignment="1">
      <alignment horizontal="center"/>
    </xf>
    <xf numFmtId="168" fontId="6" fillId="8" borderId="0" xfId="0" applyNumberFormat="1" applyFont="1" applyFill="1" applyAlignment="1"/>
    <xf numFmtId="168" fontId="6" fillId="8" borderId="0" xfId="0" applyNumberFormat="1" applyFont="1" applyFill="1" applyBorder="1" applyAlignment="1"/>
    <xf numFmtId="168" fontId="6" fillId="8" borderId="0" xfId="2" applyNumberFormat="1" applyFont="1" applyFill="1"/>
    <xf numFmtId="168" fontId="6" fillId="8" borderId="0" xfId="2" applyNumberFormat="1" applyFont="1" applyFill="1" applyBorder="1"/>
    <xf numFmtId="0" fontId="6" fillId="8" borderId="9" xfId="0" applyNumberFormat="1" applyFont="1" applyFill="1" applyBorder="1" applyAlignment="1"/>
    <xf numFmtId="168" fontId="6" fillId="8" borderId="9" xfId="0" applyNumberFormat="1" applyFont="1" applyFill="1" applyBorder="1" applyAlignment="1"/>
    <xf numFmtId="0" fontId="6" fillId="8" borderId="0" xfId="0" applyNumberFormat="1" applyFont="1" applyFill="1" applyBorder="1" applyAlignment="1"/>
    <xf numFmtId="168" fontId="4" fillId="8" borderId="0" xfId="0" applyNumberFormat="1" applyFont="1" applyFill="1" applyBorder="1" applyAlignment="1">
      <alignment horizontal="center" vertical="center"/>
    </xf>
    <xf numFmtId="1" fontId="6" fillId="8" borderId="0" xfId="2" applyNumberFormat="1" applyFont="1" applyFill="1" applyBorder="1"/>
    <xf numFmtId="168" fontId="6" fillId="8" borderId="0" xfId="0" applyNumberFormat="1" applyFont="1" applyFill="1" applyBorder="1" applyAlignment="1">
      <alignment horizontal="right"/>
    </xf>
    <xf numFmtId="0" fontId="6" fillId="8" borderId="0" xfId="0" applyNumberFormat="1" applyFont="1" applyFill="1" applyAlignment="1">
      <alignment horizontal="left" indent="1"/>
    </xf>
    <xf numFmtId="6" fontId="6" fillId="8" borderId="0" xfId="0" applyNumberFormat="1" applyFont="1" applyFill="1" applyBorder="1" applyAlignment="1">
      <alignment horizontal="right"/>
    </xf>
    <xf numFmtId="0" fontId="4" fillId="8" borderId="22" xfId="0" applyNumberFormat="1" applyFont="1" applyFill="1" applyBorder="1" applyAlignment="1">
      <alignment horizontal="right"/>
    </xf>
    <xf numFmtId="0" fontId="6" fillId="8" borderId="22" xfId="0" applyNumberFormat="1" applyFont="1" applyFill="1" applyBorder="1" applyAlignment="1"/>
    <xf numFmtId="0" fontId="3" fillId="8" borderId="22" xfId="0" applyNumberFormat="1" applyFont="1" applyFill="1" applyBorder="1" applyAlignment="1">
      <alignment horizontal="center"/>
    </xf>
    <xf numFmtId="10" fontId="6" fillId="8" borderId="22" xfId="2" applyNumberFormat="1" applyFont="1" applyFill="1" applyBorder="1" applyAlignment="1">
      <alignment horizontal="right"/>
    </xf>
    <xf numFmtId="0" fontId="3" fillId="8" borderId="0" xfId="0" applyNumberFormat="1" applyFont="1" applyFill="1" applyBorder="1" applyAlignment="1">
      <alignment horizontal="center"/>
    </xf>
    <xf numFmtId="10" fontId="6" fillId="8" borderId="0" xfId="2" applyNumberFormat="1" applyFont="1" applyFill="1" applyBorder="1" applyAlignment="1">
      <alignment horizontal="right"/>
    </xf>
    <xf numFmtId="174" fontId="3" fillId="8" borderId="0" xfId="0" applyNumberFormat="1" applyFont="1" applyFill="1" applyAlignment="1">
      <alignment horizontal="left"/>
    </xf>
    <xf numFmtId="174" fontId="6" fillId="8" borderId="0" xfId="0" applyNumberFormat="1" applyFont="1" applyFill="1" applyAlignment="1">
      <alignment horizontal="left"/>
    </xf>
    <xf numFmtId="41" fontId="6" fillId="8" borderId="0" xfId="0" applyNumberFormat="1" applyFont="1" applyFill="1" applyBorder="1" applyAlignment="1">
      <alignment horizontal="right" wrapText="1"/>
    </xf>
    <xf numFmtId="173" fontId="32" fillId="8" borderId="0" xfId="1" applyNumberFormat="1" applyFont="1" applyFill="1" applyBorder="1" applyAlignment="1">
      <alignment horizontal="right"/>
    </xf>
    <xf numFmtId="9" fontId="6" fillId="8" borderId="0" xfId="0" applyNumberFormat="1" applyFont="1" applyFill="1" applyBorder="1" applyAlignment="1">
      <alignment horizontal="right" wrapText="1"/>
    </xf>
    <xf numFmtId="41" fontId="6" fillId="8" borderId="4" xfId="0" applyNumberFormat="1" applyFont="1" applyFill="1" applyBorder="1" applyAlignment="1">
      <alignment horizontal="right" wrapText="1"/>
    </xf>
    <xf numFmtId="174" fontId="6" fillId="8" borderId="0" xfId="0" applyNumberFormat="1" applyFont="1" applyFill="1" applyAlignment="1">
      <alignment horizontal="left" indent="2"/>
    </xf>
    <xf numFmtId="174" fontId="6" fillId="8" borderId="0" xfId="0" applyNumberFormat="1" applyFont="1" applyFill="1" applyAlignment="1">
      <alignment horizontal="right"/>
    </xf>
    <xf numFmtId="174" fontId="6" fillId="8" borderId="0" xfId="0" applyNumberFormat="1" applyFont="1" applyFill="1" applyAlignment="1">
      <alignment horizontal="left" indent="1"/>
    </xf>
    <xf numFmtId="41" fontId="12" fillId="8" borderId="0" xfId="0" applyNumberFormat="1" applyFont="1" applyFill="1" applyBorder="1" applyAlignment="1">
      <alignment horizontal="right" wrapText="1"/>
    </xf>
    <xf numFmtId="6" fontId="6" fillId="8" borderId="0" xfId="0" applyNumberFormat="1" applyFont="1" applyFill="1" applyAlignment="1">
      <alignment horizontal="right" wrapText="1"/>
    </xf>
    <xf numFmtId="174" fontId="6" fillId="8" borderId="0" xfId="0" applyNumberFormat="1" applyFont="1" applyFill="1" applyBorder="1" applyAlignment="1">
      <alignment horizontal="left" indent="1"/>
    </xf>
    <xf numFmtId="41" fontId="6" fillId="8" borderId="0" xfId="0" applyNumberFormat="1" applyFont="1" applyFill="1" applyAlignment="1">
      <alignment horizontal="right" wrapText="1"/>
    </xf>
    <xf numFmtId="174" fontId="6" fillId="8" borderId="0" xfId="0" applyNumberFormat="1" applyFont="1" applyFill="1" applyAlignment="1">
      <alignment horizontal="right" wrapText="1"/>
    </xf>
    <xf numFmtId="41" fontId="12" fillId="8" borderId="0" xfId="0" applyNumberFormat="1" applyFont="1" applyFill="1" applyAlignment="1">
      <alignment horizontal="right" wrapText="1"/>
    </xf>
    <xf numFmtId="41" fontId="12" fillId="8" borderId="9" xfId="0" applyNumberFormat="1" applyFont="1" applyFill="1" applyBorder="1" applyAlignment="1">
      <alignment horizontal="right" wrapText="1"/>
    </xf>
    <xf numFmtId="6" fontId="6" fillId="8" borderId="9" xfId="0" applyNumberFormat="1" applyFont="1" applyFill="1" applyBorder="1" applyAlignment="1">
      <alignment horizontal="right" wrapText="1"/>
    </xf>
    <xf numFmtId="0" fontId="0" fillId="8" borderId="0" xfId="0" applyNumberFormat="1" applyFill="1" applyAlignment="1"/>
    <xf numFmtId="174" fontId="6" fillId="8" borderId="22" xfId="0" applyNumberFormat="1" applyFont="1" applyFill="1" applyBorder="1" applyAlignment="1">
      <alignment horizontal="left" indent="1"/>
    </xf>
    <xf numFmtId="0" fontId="0" fillId="8" borderId="22" xfId="0" applyNumberFormat="1" applyFill="1" applyBorder="1" applyAlignment="1"/>
    <xf numFmtId="6" fontId="6" fillId="8" borderId="22" xfId="0" applyNumberFormat="1" applyFont="1" applyFill="1" applyBorder="1" applyAlignment="1">
      <alignment horizontal="right" wrapText="1"/>
    </xf>
    <xf numFmtId="168" fontId="58" fillId="8" borderId="0" xfId="0" applyNumberFormat="1" applyFont="1" applyFill="1" applyBorder="1" applyAlignment="1"/>
    <xf numFmtId="9" fontId="59" fillId="0" borderId="0" xfId="0" applyNumberFormat="1" applyFont="1" applyFill="1" applyBorder="1" applyAlignment="1">
      <alignment horizontal="center"/>
    </xf>
    <xf numFmtId="0" fontId="45" fillId="8" borderId="0" xfId="0" applyFont="1" applyFill="1" applyBorder="1" applyAlignment="1">
      <alignment vertical="top" wrapText="1"/>
    </xf>
    <xf numFmtId="0" fontId="30" fillId="5" borderId="8" xfId="0" applyFont="1" applyFill="1" applyBorder="1" applyAlignment="1">
      <alignment vertical="center"/>
    </xf>
    <xf numFmtId="0" fontId="30" fillId="5" borderId="0" xfId="0" applyFont="1" applyFill="1" applyBorder="1" applyAlignment="1">
      <alignment vertical="center"/>
    </xf>
    <xf numFmtId="0" fontId="45" fillId="5" borderId="25" xfId="0" applyFont="1" applyFill="1" applyBorder="1" applyAlignment="1">
      <alignment vertical="center"/>
    </xf>
    <xf numFmtId="0" fontId="45" fillId="8" borderId="0" xfId="0" applyFont="1" applyFill="1" applyBorder="1" applyAlignment="1">
      <alignment horizontal="left" vertical="center"/>
    </xf>
    <xf numFmtId="0" fontId="45" fillId="8" borderId="0" xfId="0" applyFont="1" applyFill="1" applyBorder="1" applyAlignment="1">
      <alignment horizontal="left" vertical="center" wrapText="1"/>
    </xf>
    <xf numFmtId="165" fontId="0" fillId="0" borderId="0" xfId="1" applyNumberFormat="1" applyFont="1"/>
    <xf numFmtId="9" fontId="24" fillId="6" borderId="5" xfId="0" applyNumberFormat="1" applyFont="1" applyFill="1" applyBorder="1" applyAlignment="1">
      <alignment horizontal="center"/>
    </xf>
    <xf numFmtId="0" fontId="42" fillId="2" borderId="6" xfId="0" applyNumberFormat="1" applyFont="1" applyFill="1" applyBorder="1" applyAlignment="1">
      <alignment vertical="center"/>
    </xf>
    <xf numFmtId="168" fontId="24" fillId="0" borderId="6" xfId="1" applyNumberFormat="1" applyFont="1" applyBorder="1" applyAlignment="1">
      <alignment horizontal="center" vertical="center"/>
    </xf>
    <xf numFmtId="2" fontId="6" fillId="0" borderId="0" xfId="0" applyNumberFormat="1" applyFont="1" applyFill="1" applyAlignment="1">
      <alignment horizontal="right"/>
    </xf>
    <xf numFmtId="6" fontId="6" fillId="8" borderId="0" xfId="0" applyNumberFormat="1" applyFont="1" applyFill="1" applyAlignment="1">
      <alignment horizontal="right" vertical="center" wrapText="1"/>
    </xf>
    <xf numFmtId="0" fontId="56" fillId="0" borderId="0" xfId="0" applyFont="1" applyBorder="1" applyAlignment="1">
      <alignment horizontal="center" vertical="center" wrapText="1"/>
    </xf>
    <xf numFmtId="164" fontId="51" fillId="0" borderId="17" xfId="2" applyNumberFormat="1" applyFont="1" applyFill="1" applyBorder="1" applyAlignment="1">
      <alignment horizontal="center"/>
    </xf>
    <xf numFmtId="10" fontId="49" fillId="0" borderId="21" xfId="0" applyNumberFormat="1" applyFont="1" applyBorder="1" applyAlignment="1">
      <alignment horizontal="center"/>
    </xf>
    <xf numFmtId="0" fontId="6" fillId="9" borderId="30" xfId="0" applyNumberFormat="1" applyFont="1" applyFill="1" applyBorder="1" applyAlignment="1">
      <alignment horizontal="center" vertical="center"/>
    </xf>
    <xf numFmtId="0" fontId="6" fillId="9" borderId="7" xfId="0" applyNumberFormat="1" applyFont="1" applyFill="1" applyBorder="1" applyAlignment="1">
      <alignment horizontal="center" vertical="center" wrapText="1"/>
    </xf>
    <xf numFmtId="0" fontId="61" fillId="0" borderId="0" xfId="0" applyFont="1" applyFill="1" applyBorder="1" applyAlignment="1">
      <alignment vertical="center"/>
    </xf>
    <xf numFmtId="0" fontId="0" fillId="0" borderId="22" xfId="0" applyBorder="1"/>
    <xf numFmtId="0" fontId="62" fillId="0" borderId="0" xfId="0" applyFont="1" applyFill="1" applyBorder="1" applyAlignment="1">
      <alignment vertical="center"/>
    </xf>
    <xf numFmtId="10" fontId="3" fillId="11" borderId="7" xfId="2" applyNumberFormat="1" applyFont="1" applyFill="1" applyBorder="1" applyAlignment="1">
      <alignment horizontal="center" vertical="center"/>
    </xf>
    <xf numFmtId="2" fontId="44" fillId="0" borderId="22" xfId="0" applyNumberFormat="1" applyFont="1" applyFill="1" applyBorder="1" applyAlignment="1">
      <alignment horizontal="center"/>
    </xf>
    <xf numFmtId="6" fontId="63" fillId="0" borderId="0" xfId="0" applyNumberFormat="1" applyFont="1" applyAlignment="1"/>
    <xf numFmtId="6" fontId="63" fillId="0" borderId="9" xfId="0" applyNumberFormat="1" applyFont="1" applyBorder="1" applyAlignment="1"/>
    <xf numFmtId="0" fontId="51" fillId="0" borderId="0" xfId="0" applyFont="1" applyBorder="1"/>
    <xf numFmtId="164" fontId="51" fillId="0" borderId="0" xfId="2" applyNumberFormat="1" applyFont="1" applyFill="1" applyBorder="1" applyAlignment="1">
      <alignment horizontal="center"/>
    </xf>
    <xf numFmtId="0" fontId="51" fillId="0" borderId="9" xfId="0" applyFont="1" applyFill="1" applyBorder="1" applyAlignment="1">
      <alignment horizontal="center"/>
    </xf>
    <xf numFmtId="0" fontId="55" fillId="5" borderId="14" xfId="0" applyFont="1" applyFill="1" applyBorder="1" applyAlignment="1">
      <alignment horizontal="center"/>
    </xf>
    <xf numFmtId="0" fontId="6" fillId="0" borderId="0" xfId="0" applyNumberFormat="1" applyFont="1" applyAlignment="1">
      <alignment wrapText="1"/>
    </xf>
    <xf numFmtId="9" fontId="6" fillId="0" borderId="9" xfId="0" applyNumberFormat="1" applyFont="1" applyBorder="1" applyAlignment="1"/>
    <xf numFmtId="9" fontId="65" fillId="0" borderId="0" xfId="0" applyNumberFormat="1" applyFont="1" applyAlignment="1"/>
    <xf numFmtId="6" fontId="6" fillId="8" borderId="0" xfId="0" applyNumberFormat="1" applyFont="1" applyFill="1" applyBorder="1" applyAlignment="1"/>
    <xf numFmtId="0" fontId="22" fillId="8" borderId="0" xfId="0" applyNumberFormat="1" applyFont="1" applyFill="1" applyAlignment="1"/>
    <xf numFmtId="0" fontId="8" fillId="0" borderId="23" xfId="0" applyFont="1" applyFill="1" applyBorder="1" applyAlignment="1">
      <alignment horizontal="center"/>
    </xf>
    <xf numFmtId="0" fontId="6" fillId="0" borderId="10" xfId="0" applyFont="1" applyFill="1" applyBorder="1"/>
    <xf numFmtId="6" fontId="3" fillId="0" borderId="22" xfId="0" applyNumberFormat="1" applyFont="1" applyBorder="1" applyAlignment="1"/>
    <xf numFmtId="0" fontId="15" fillId="0" borderId="32" xfId="0" applyFont="1" applyFill="1" applyBorder="1" applyAlignment="1">
      <alignment horizontal="center"/>
    </xf>
    <xf numFmtId="0" fontId="6" fillId="0" borderId="24" xfId="0" applyFont="1" applyFill="1" applyBorder="1"/>
    <xf numFmtId="164" fontId="4" fillId="0" borderId="0" xfId="2" applyNumberFormat="1" applyFont="1" applyAlignment="1">
      <alignment horizontal="center"/>
    </xf>
    <xf numFmtId="9" fontId="4" fillId="0" borderId="0" xfId="2" applyFont="1" applyAlignment="1">
      <alignment horizontal="center"/>
    </xf>
    <xf numFmtId="9" fontId="4" fillId="0" borderId="0" xfId="0" applyNumberFormat="1" applyFont="1" applyAlignment="1">
      <alignment horizontal="center"/>
    </xf>
    <xf numFmtId="0" fontId="22" fillId="0" borderId="0" xfId="0" applyNumberFormat="1" applyFont="1" applyFill="1" applyBorder="1" applyAlignment="1"/>
    <xf numFmtId="2" fontId="36" fillId="0" borderId="0" xfId="0" applyNumberFormat="1" applyFont="1" applyBorder="1" applyAlignment="1"/>
    <xf numFmtId="0" fontId="6" fillId="0" borderId="27" xfId="0" applyFont="1" applyFill="1" applyBorder="1"/>
    <xf numFmtId="0" fontId="6" fillId="0" borderId="9" xfId="0" applyNumberFormat="1" applyFont="1" applyBorder="1" applyAlignment="1">
      <alignment wrapText="1"/>
    </xf>
    <xf numFmtId="0" fontId="67" fillId="0" borderId="19" xfId="0" applyFont="1" applyBorder="1"/>
    <xf numFmtId="0" fontId="67" fillId="0" borderId="20" xfId="0" applyFont="1" applyBorder="1"/>
    <xf numFmtId="6" fontId="67" fillId="0" borderId="17" xfId="0" applyNumberFormat="1" applyFont="1" applyBorder="1" applyAlignment="1">
      <alignment horizontal="center" wrapText="1"/>
    </xf>
    <xf numFmtId="6" fontId="67" fillId="0" borderId="18" xfId="0" applyNumberFormat="1" applyFont="1" applyBorder="1" applyAlignment="1">
      <alignment horizontal="center" wrapText="1"/>
    </xf>
    <xf numFmtId="0" fontId="67" fillId="0" borderId="15" xfId="0" applyFont="1" applyBorder="1"/>
    <xf numFmtId="0" fontId="67" fillId="0" borderId="16" xfId="0" applyFont="1" applyBorder="1"/>
    <xf numFmtId="6" fontId="68" fillId="0" borderId="0" xfId="0" applyNumberFormat="1" applyFont="1" applyAlignment="1"/>
    <xf numFmtId="6" fontId="15" fillId="0" borderId="0" xfId="0" applyNumberFormat="1" applyFont="1" applyFill="1" applyAlignment="1"/>
    <xf numFmtId="169" fontId="4" fillId="3" borderId="0" xfId="0" applyNumberFormat="1" applyFont="1" applyFill="1" applyBorder="1" applyAlignment="1">
      <alignment horizontal="center"/>
    </xf>
    <xf numFmtId="0" fontId="6" fillId="3" borderId="0" xfId="0" applyFont="1" applyFill="1" applyBorder="1"/>
    <xf numFmtId="14" fontId="6" fillId="3" borderId="0" xfId="0" applyNumberFormat="1" applyFont="1" applyFill="1" applyBorder="1" applyAlignment="1">
      <alignment horizontal="center"/>
    </xf>
    <xf numFmtId="168" fontId="5" fillId="0" borderId="0" xfId="1" applyNumberFormat="1" applyFont="1" applyFill="1" applyBorder="1" applyAlignment="1">
      <alignment horizontal="center"/>
    </xf>
    <xf numFmtId="168" fontId="6" fillId="0" borderId="0" xfId="1" applyNumberFormat="1" applyFont="1" applyFill="1" applyBorder="1" applyAlignment="1">
      <alignment horizontal="center"/>
    </xf>
    <xf numFmtId="170" fontId="5" fillId="0" borderId="0" xfId="1" applyNumberFormat="1" applyFont="1" applyFill="1" applyBorder="1" applyAlignment="1">
      <alignment horizontal="center"/>
    </xf>
    <xf numFmtId="164" fontId="5" fillId="3" borderId="0" xfId="2" applyNumberFormat="1" applyFont="1" applyFill="1" applyBorder="1" applyAlignment="1">
      <alignment horizontal="center"/>
    </xf>
    <xf numFmtId="9" fontId="5" fillId="0" borderId="0" xfId="2" applyFont="1" applyFill="1" applyBorder="1" applyAlignment="1">
      <alignment horizontal="center"/>
    </xf>
    <xf numFmtId="0" fontId="8" fillId="5" borderId="10" xfId="0" applyFont="1" applyFill="1" applyBorder="1" applyAlignment="1">
      <alignment vertical="center"/>
    </xf>
    <xf numFmtId="0" fontId="62" fillId="5" borderId="10" xfId="0" applyFont="1" applyFill="1" applyBorder="1" applyAlignment="1">
      <alignment vertical="center"/>
    </xf>
    <xf numFmtId="0" fontId="62" fillId="5" borderId="24" xfId="0" applyFont="1" applyFill="1" applyBorder="1" applyAlignment="1">
      <alignment vertical="center"/>
    </xf>
    <xf numFmtId="0" fontId="49" fillId="0" borderId="6" xfId="0" applyFont="1" applyBorder="1" applyAlignment="1">
      <alignment horizontal="center"/>
    </xf>
    <xf numFmtId="1" fontId="0" fillId="0" borderId="0" xfId="0" applyNumberFormat="1" applyAlignment="1"/>
    <xf numFmtId="6" fontId="22" fillId="8" borderId="0" xfId="0" applyNumberFormat="1" applyFont="1" applyFill="1" applyAlignment="1">
      <alignment horizontal="center" wrapText="1"/>
    </xf>
    <xf numFmtId="176" fontId="6" fillId="8" borderId="0" xfId="0" applyNumberFormat="1" applyFont="1" applyFill="1" applyAlignment="1">
      <alignment horizontal="center" wrapText="1"/>
    </xf>
    <xf numFmtId="1" fontId="24" fillId="8" borderId="0" xfId="0" applyNumberFormat="1" applyFont="1" applyFill="1" applyAlignment="1">
      <alignment horizontal="right" wrapText="1"/>
    </xf>
    <xf numFmtId="176" fontId="6" fillId="8" borderId="0" xfId="0" applyNumberFormat="1" applyFont="1" applyFill="1" applyAlignment="1">
      <alignment horizontal="right" wrapText="1"/>
    </xf>
    <xf numFmtId="0" fontId="0" fillId="0" borderId="0" xfId="0" applyNumberFormat="1" applyFill="1" applyAlignment="1"/>
    <xf numFmtId="1" fontId="0" fillId="0" borderId="0" xfId="0" applyNumberFormat="1" applyFill="1" applyAlignment="1"/>
    <xf numFmtId="1" fontId="0" fillId="8" borderId="22" xfId="0" applyNumberFormat="1" applyFill="1" applyBorder="1" applyAlignment="1"/>
    <xf numFmtId="174" fontId="3" fillId="8" borderId="0" xfId="0" applyNumberFormat="1" applyFont="1" applyFill="1" applyAlignment="1">
      <alignment horizontal="left" indent="1"/>
    </xf>
    <xf numFmtId="175" fontId="4" fillId="0" borderId="0" xfId="0" applyNumberFormat="1" applyFont="1" applyFill="1" applyAlignment="1">
      <alignment horizontal="center"/>
    </xf>
    <xf numFmtId="1" fontId="43" fillId="0" borderId="0" xfId="0" applyNumberFormat="1" applyFont="1" applyFill="1" applyBorder="1" applyAlignment="1">
      <alignment horizontal="center"/>
    </xf>
    <xf numFmtId="0" fontId="70" fillId="5" borderId="6" xfId="0" applyNumberFormat="1" applyFont="1" applyFill="1" applyBorder="1" applyAlignment="1">
      <alignment horizontal="center"/>
    </xf>
    <xf numFmtId="2" fontId="16" fillId="5" borderId="5" xfId="0" applyNumberFormat="1" applyFont="1" applyFill="1" applyBorder="1" applyAlignment="1">
      <alignment horizontal="center"/>
    </xf>
    <xf numFmtId="0" fontId="71" fillId="0" borderId="0" xfId="0" applyFont="1" applyFill="1" applyBorder="1"/>
    <xf numFmtId="0" fontId="21" fillId="5" borderId="2" xfId="0" applyNumberFormat="1" applyFont="1" applyFill="1" applyBorder="1" applyAlignment="1">
      <alignment horizontal="center"/>
    </xf>
    <xf numFmtId="0" fontId="21" fillId="5" borderId="1" xfId="0" applyFont="1" applyFill="1" applyBorder="1"/>
    <xf numFmtId="0" fontId="6" fillId="4" borderId="23" xfId="0" applyFont="1" applyFill="1" applyBorder="1"/>
    <xf numFmtId="0" fontId="6" fillId="4" borderId="8" xfId="0" applyFont="1" applyFill="1" applyBorder="1"/>
    <xf numFmtId="0" fontId="72" fillId="4" borderId="0" xfId="0" applyFont="1" applyFill="1" applyBorder="1" applyAlignment="1"/>
    <xf numFmtId="0" fontId="6" fillId="4" borderId="26" xfId="0" applyFont="1" applyFill="1" applyBorder="1"/>
    <xf numFmtId="0" fontId="72" fillId="4" borderId="22" xfId="0" applyFont="1" applyFill="1" applyBorder="1" applyAlignment="1"/>
    <xf numFmtId="0" fontId="60" fillId="4" borderId="10" xfId="0" applyNumberFormat="1" applyFont="1" applyFill="1" applyBorder="1" applyAlignment="1"/>
    <xf numFmtId="0" fontId="51" fillId="0" borderId="12" xfId="0" applyFont="1" applyBorder="1" applyAlignment="1">
      <alignment vertical="center"/>
    </xf>
    <xf numFmtId="0" fontId="49" fillId="0" borderId="14" xfId="0" applyFont="1" applyBorder="1"/>
    <xf numFmtId="0" fontId="71" fillId="0" borderId="0" xfId="0" applyFont="1" applyFill="1" applyBorder="1" applyAlignment="1">
      <alignment horizontal="center"/>
    </xf>
    <xf numFmtId="164" fontId="16" fillId="5" borderId="6" xfId="2" applyNumberFormat="1" applyFont="1" applyFill="1" applyBorder="1" applyAlignment="1">
      <alignment horizontal="center"/>
    </xf>
    <xf numFmtId="0" fontId="6" fillId="12" borderId="0" xfId="0" applyFont="1" applyFill="1" applyBorder="1"/>
    <xf numFmtId="169" fontId="4" fillId="12" borderId="0" xfId="0" applyNumberFormat="1" applyFont="1" applyFill="1" applyBorder="1" applyAlignment="1">
      <alignment horizontal="center"/>
    </xf>
    <xf numFmtId="9" fontId="5" fillId="12" borderId="0" xfId="2" applyFont="1" applyFill="1" applyBorder="1" applyAlignment="1">
      <alignment horizontal="center"/>
    </xf>
    <xf numFmtId="168" fontId="5" fillId="12" borderId="0" xfId="2" applyNumberFormat="1" applyFont="1" applyFill="1" applyBorder="1" applyAlignment="1">
      <alignment horizontal="center"/>
    </xf>
    <xf numFmtId="0" fontId="15" fillId="12" borderId="0" xfId="0" applyFont="1" applyFill="1" applyBorder="1" applyAlignment="1">
      <alignment horizontal="center"/>
    </xf>
    <xf numFmtId="0" fontId="3" fillId="12" borderId="0" xfId="0" applyFont="1" applyFill="1" applyBorder="1" applyAlignment="1">
      <alignment horizontal="center"/>
    </xf>
    <xf numFmtId="0" fontId="5" fillId="12" borderId="0" xfId="0" applyNumberFormat="1" applyFont="1" applyFill="1" applyBorder="1" applyAlignment="1">
      <alignment horizontal="center"/>
    </xf>
    <xf numFmtId="2" fontId="0" fillId="8" borderId="0" xfId="0" applyNumberFormat="1" applyFill="1" applyAlignment="1"/>
    <xf numFmtId="0" fontId="3" fillId="0" borderId="33" xfId="0" applyNumberFormat="1" applyFont="1" applyBorder="1" applyAlignment="1">
      <alignment horizontal="center"/>
    </xf>
    <xf numFmtId="2" fontId="44" fillId="10" borderId="35" xfId="0" applyNumberFormat="1" applyFont="1" applyFill="1" applyBorder="1" applyAlignment="1">
      <alignment horizontal="center"/>
    </xf>
    <xf numFmtId="0" fontId="21" fillId="0" borderId="35" xfId="0" applyNumberFormat="1" applyFont="1" applyBorder="1" applyAlignment="1">
      <alignment horizontal="center"/>
    </xf>
    <xf numFmtId="0" fontId="55" fillId="0" borderId="13" xfId="0" applyFont="1" applyBorder="1" applyAlignment="1">
      <alignment horizontal="center"/>
    </xf>
    <xf numFmtId="164" fontId="73" fillId="0" borderId="14" xfId="2" applyNumberFormat="1" applyFont="1" applyFill="1" applyBorder="1" applyAlignment="1">
      <alignment horizontal="center"/>
    </xf>
    <xf numFmtId="0" fontId="77" fillId="0" borderId="12" xfId="0" applyFont="1" applyBorder="1"/>
    <xf numFmtId="2" fontId="3" fillId="0" borderId="0" xfId="0" applyNumberFormat="1" applyFont="1" applyFill="1" applyBorder="1" applyAlignment="1">
      <alignment horizontal="center"/>
    </xf>
    <xf numFmtId="1" fontId="81" fillId="0" borderId="0" xfId="0" applyNumberFormat="1" applyFont="1" applyFill="1" applyBorder="1" applyAlignment="1">
      <alignment horizontal="center"/>
    </xf>
    <xf numFmtId="6" fontId="27" fillId="0" borderId="0" xfId="0" applyNumberFormat="1" applyFont="1" applyFill="1" applyBorder="1" applyAlignment="1">
      <alignment horizontal="center"/>
    </xf>
    <xf numFmtId="6" fontId="80" fillId="0" borderId="0" xfId="0" applyNumberFormat="1" applyFont="1" applyFill="1" applyBorder="1" applyAlignment="1"/>
    <xf numFmtId="6" fontId="80" fillId="0" borderId="0" xfId="0" applyNumberFormat="1" applyFont="1" applyFill="1" applyBorder="1" applyAlignment="1">
      <alignment horizontal="center"/>
    </xf>
    <xf numFmtId="1" fontId="80" fillId="0" borderId="0" xfId="0" applyNumberFormat="1" applyFont="1" applyFill="1" applyBorder="1" applyAlignment="1">
      <alignment horizontal="center"/>
    </xf>
    <xf numFmtId="0" fontId="81" fillId="0" borderId="0" xfId="0" applyNumberFormat="1" applyFont="1" applyFill="1" applyBorder="1" applyAlignment="1"/>
    <xf numFmtId="0" fontId="8" fillId="0" borderId="17" xfId="0" applyFont="1" applyFill="1" applyBorder="1" applyAlignment="1">
      <alignment horizontal="center"/>
    </xf>
    <xf numFmtId="0" fontId="51" fillId="5" borderId="1" xfId="0" applyFont="1" applyFill="1" applyBorder="1"/>
    <xf numFmtId="0" fontId="55" fillId="5" borderId="2" xfId="0" applyFont="1" applyFill="1" applyBorder="1" applyAlignment="1">
      <alignment horizontal="center"/>
    </xf>
    <xf numFmtId="0" fontId="73" fillId="7" borderId="7" xfId="0" applyFont="1" applyFill="1" applyBorder="1" applyAlignment="1">
      <alignment horizontal="center"/>
    </xf>
    <xf numFmtId="1" fontId="28" fillId="0" borderId="5" xfId="0" applyNumberFormat="1" applyFont="1" applyBorder="1" applyAlignment="1">
      <alignment horizontal="center"/>
    </xf>
    <xf numFmtId="2" fontId="24" fillId="0" borderId="5" xfId="0" applyNumberFormat="1" applyFont="1" applyBorder="1" applyAlignment="1">
      <alignment horizontal="center"/>
    </xf>
    <xf numFmtId="1" fontId="28" fillId="0" borderId="4" xfId="0" applyNumberFormat="1" applyFont="1" applyBorder="1" applyAlignment="1">
      <alignment horizontal="center"/>
    </xf>
    <xf numFmtId="2" fontId="24" fillId="0" borderId="4" xfId="0" applyNumberFormat="1" applyFont="1" applyBorder="1" applyAlignment="1">
      <alignment horizontal="center"/>
    </xf>
    <xf numFmtId="164" fontId="82" fillId="3" borderId="6" xfId="2" applyNumberFormat="1" applyFont="1" applyFill="1" applyBorder="1" applyAlignment="1">
      <alignment horizontal="center" vertical="center" wrapText="1"/>
    </xf>
    <xf numFmtId="3" fontId="3" fillId="5" borderId="6" xfId="0" applyNumberFormat="1" applyFont="1" applyFill="1" applyBorder="1" applyAlignment="1">
      <alignment horizontal="left"/>
    </xf>
    <xf numFmtId="2" fontId="6" fillId="0" borderId="0" xfId="0" applyNumberFormat="1" applyFont="1" applyFill="1" applyBorder="1" applyAlignment="1">
      <alignment horizontal="center"/>
    </xf>
    <xf numFmtId="2" fontId="71" fillId="0" borderId="0" xfId="2" applyNumberFormat="1" applyFont="1" applyFill="1" applyBorder="1" applyAlignment="1">
      <alignment horizontal="right"/>
    </xf>
    <xf numFmtId="0" fontId="51" fillId="13" borderId="12" xfId="0" applyFont="1" applyFill="1" applyBorder="1" applyAlignment="1">
      <alignment wrapText="1"/>
    </xf>
    <xf numFmtId="0" fontId="55" fillId="13" borderId="14" xfId="0" applyFont="1" applyFill="1" applyBorder="1" applyAlignment="1">
      <alignment horizontal="center"/>
    </xf>
    <xf numFmtId="0" fontId="51" fillId="13" borderId="17" xfId="0" applyFont="1" applyFill="1" applyBorder="1" applyAlignment="1">
      <alignment wrapText="1"/>
    </xf>
    <xf numFmtId="0" fontId="55" fillId="13" borderId="0" xfId="0" applyFont="1" applyFill="1" applyBorder="1" applyAlignment="1">
      <alignment horizontal="center"/>
    </xf>
    <xf numFmtId="166" fontId="21" fillId="5" borderId="3" xfId="0" applyNumberFormat="1" applyFont="1" applyFill="1" applyBorder="1" applyAlignment="1">
      <alignment horizontal="center"/>
    </xf>
    <xf numFmtId="0" fontId="6" fillId="0" borderId="0" xfId="0" applyFont="1" applyFill="1" applyBorder="1"/>
    <xf numFmtId="0" fontId="3" fillId="0" borderId="0" xfId="0" applyFont="1" applyFill="1" applyBorder="1" applyAlignment="1">
      <alignment horizontal="center"/>
    </xf>
    <xf numFmtId="0" fontId="6" fillId="0" borderId="0" xfId="0" applyFont="1" applyFill="1" applyBorder="1"/>
    <xf numFmtId="0" fontId="3" fillId="0" borderId="0" xfId="0" applyFont="1" applyFill="1" applyBorder="1" applyAlignment="1">
      <alignment horizontal="center"/>
    </xf>
    <xf numFmtId="0" fontId="6" fillId="0" borderId="0" xfId="0" applyFont="1" applyFill="1" applyBorder="1"/>
    <xf numFmtId="0" fontId="3" fillId="0" borderId="0" xfId="0" applyFont="1" applyFill="1" applyBorder="1" applyAlignment="1">
      <alignment horizontal="center"/>
    </xf>
    <xf numFmtId="0" fontId="0" fillId="0" borderId="0" xfId="0"/>
    <xf numFmtId="0" fontId="3" fillId="0" borderId="0" xfId="0" applyFont="1" applyFill="1" applyBorder="1" applyAlignment="1">
      <alignment horizontal="center"/>
    </xf>
    <xf numFmtId="0" fontId="6" fillId="0" borderId="0" xfId="0" applyFont="1" applyFill="1" applyBorder="1"/>
    <xf numFmtId="0" fontId="3" fillId="0" borderId="0" xfId="0" applyFont="1" applyFill="1" applyBorder="1" applyAlignment="1">
      <alignment horizontal="center"/>
    </xf>
    <xf numFmtId="0" fontId="6" fillId="0" borderId="0" xfId="0" applyFont="1" applyFill="1" applyBorder="1"/>
    <xf numFmtId="0" fontId="6" fillId="0" borderId="0" xfId="0" applyFont="1" applyFill="1" applyBorder="1"/>
    <xf numFmtId="0" fontId="8" fillId="0" borderId="10" xfId="0" applyFont="1" applyFill="1" applyBorder="1" applyAlignment="1">
      <alignment horizontal="center"/>
    </xf>
    <xf numFmtId="0" fontId="8" fillId="0" borderId="24" xfId="0" applyFont="1" applyFill="1" applyBorder="1" applyAlignment="1">
      <alignment horizontal="center"/>
    </xf>
    <xf numFmtId="0" fontId="8" fillId="0" borderId="0" xfId="0" applyFont="1" applyFill="1" applyBorder="1" applyAlignment="1">
      <alignment horizontal="center"/>
    </xf>
    <xf numFmtId="0" fontId="6" fillId="0" borderId="25" xfId="0" applyFont="1" applyFill="1" applyBorder="1"/>
    <xf numFmtId="0" fontId="3" fillId="0" borderId="8" xfId="0" applyFont="1" applyFill="1" applyBorder="1" applyAlignment="1">
      <alignment horizontal="center"/>
    </xf>
    <xf numFmtId="1" fontId="24"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 fillId="5" borderId="1" xfId="0" applyNumberFormat="1" applyFont="1" applyFill="1" applyBorder="1" applyAlignment="1"/>
    <xf numFmtId="164" fontId="5" fillId="0" borderId="0" xfId="2" applyNumberFormat="1" applyFont="1" applyFill="1" applyBorder="1" applyAlignment="1">
      <alignment horizontal="center"/>
    </xf>
    <xf numFmtId="170" fontId="24" fillId="0" borderId="0" xfId="1" applyNumberFormat="1" applyFont="1" applyFill="1" applyBorder="1" applyAlignment="1">
      <alignment horizontal="right"/>
    </xf>
    <xf numFmtId="1" fontId="43" fillId="0" borderId="25" xfId="0" applyNumberFormat="1" applyFont="1" applyFill="1" applyBorder="1" applyAlignment="1">
      <alignment horizontal="left"/>
    </xf>
    <xf numFmtId="6" fontId="24" fillId="0" borderId="0" xfId="0" applyNumberFormat="1" applyFont="1" applyFill="1" applyBorder="1" applyAlignment="1">
      <alignment horizontal="right"/>
    </xf>
    <xf numFmtId="168" fontId="6" fillId="0" borderId="0" xfId="0" applyNumberFormat="1" applyFont="1" applyFill="1" applyBorder="1" applyAlignment="1">
      <alignment horizontal="right"/>
    </xf>
    <xf numFmtId="168" fontId="6" fillId="0" borderId="0" xfId="1" applyNumberFormat="1" applyFont="1" applyFill="1" applyBorder="1" applyAlignment="1">
      <alignment horizontal="right"/>
    </xf>
    <xf numFmtId="0" fontId="4" fillId="0" borderId="4" xfId="0" applyNumberFormat="1" applyFont="1" applyFill="1" applyBorder="1" applyAlignment="1">
      <alignment horizontal="center"/>
    </xf>
    <xf numFmtId="170" fontId="6" fillId="0" borderId="0" xfId="1" applyNumberFormat="1" applyFont="1" applyFill="1" applyBorder="1" applyAlignment="1">
      <alignment horizontal="right"/>
    </xf>
    <xf numFmtId="6" fontId="6" fillId="0" borderId="0" xfId="0" applyNumberFormat="1" applyFont="1" applyFill="1" applyBorder="1" applyAlignment="1">
      <alignment horizontal="right"/>
    </xf>
    <xf numFmtId="0" fontId="6" fillId="2" borderId="0" xfId="0" applyNumberFormat="1" applyFont="1" applyFill="1" applyBorder="1" applyAlignment="1"/>
    <xf numFmtId="0" fontId="6" fillId="0" borderId="0" xfId="0" applyFont="1" applyBorder="1"/>
    <xf numFmtId="169" fontId="4" fillId="0" borderId="0" xfId="0" applyNumberFormat="1" applyFont="1" applyFill="1" applyBorder="1" applyAlignment="1">
      <alignment horizontal="center"/>
    </xf>
    <xf numFmtId="170"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0" fontId="6" fillId="5" borderId="2" xfId="0" applyFont="1" applyFill="1" applyBorder="1"/>
    <xf numFmtId="9" fontId="12" fillId="0" borderId="0" xfId="2" applyFont="1" applyFill="1" applyBorder="1" applyAlignment="1">
      <alignment horizontal="right"/>
    </xf>
    <xf numFmtId="9" fontId="24" fillId="0" borderId="0" xfId="2" applyNumberFormat="1" applyFont="1" applyFill="1" applyBorder="1" applyAlignment="1">
      <alignment horizontal="right"/>
    </xf>
    <xf numFmtId="10" fontId="24" fillId="0" borderId="0" xfId="2" applyNumberFormat="1" applyFont="1" applyFill="1" applyBorder="1" applyAlignment="1">
      <alignment horizontal="right"/>
    </xf>
    <xf numFmtId="2" fontId="24" fillId="0" borderId="0" xfId="2" applyNumberFormat="1" applyFont="1" applyFill="1" applyBorder="1" applyAlignment="1">
      <alignment horizontal="right"/>
    </xf>
    <xf numFmtId="175" fontId="4" fillId="0" borderId="4" xfId="0" applyNumberFormat="1" applyFont="1" applyFill="1" applyBorder="1" applyAlignment="1">
      <alignment horizontal="center"/>
    </xf>
    <xf numFmtId="2" fontId="6" fillId="0" borderId="0" xfId="2" applyNumberFormat="1" applyFont="1" applyFill="1" applyBorder="1" applyAlignment="1">
      <alignment horizontal="right"/>
    </xf>
    <xf numFmtId="9" fontId="6" fillId="0" borderId="0" xfId="2" applyNumberFormat="1" applyFont="1" applyFill="1" applyBorder="1" applyAlignment="1">
      <alignment horizontal="right"/>
    </xf>
    <xf numFmtId="0" fontId="4" fillId="2" borderId="0" xfId="0" applyNumberFormat="1" applyFont="1" applyFill="1" applyBorder="1" applyAlignment="1">
      <alignment horizontal="center"/>
    </xf>
    <xf numFmtId="0" fontId="60" fillId="5" borderId="1" xfId="0" applyFont="1" applyFill="1" applyBorder="1"/>
    <xf numFmtId="0" fontId="6" fillId="5" borderId="3" xfId="0" applyFont="1" applyFill="1" applyBorder="1"/>
    <xf numFmtId="0" fontId="6" fillId="0" borderId="8" xfId="0" applyFont="1" applyFill="1" applyBorder="1"/>
    <xf numFmtId="9" fontId="5" fillId="0" borderId="0" xfId="2" applyFont="1" applyFill="1" applyBorder="1" applyAlignment="1">
      <alignment horizontal="right"/>
    </xf>
    <xf numFmtId="9" fontId="24" fillId="0" borderId="0" xfId="2" applyFont="1" applyFill="1" applyBorder="1" applyAlignment="1">
      <alignment horizontal="center"/>
    </xf>
    <xf numFmtId="0" fontId="4" fillId="0" borderId="0" xfId="0" applyFont="1" applyFill="1" applyBorder="1" applyAlignment="1">
      <alignment horizontal="center"/>
    </xf>
    <xf numFmtId="10" fontId="4" fillId="0" borderId="0" xfId="2" applyNumberFormat="1" applyFont="1" applyFill="1" applyBorder="1" applyAlignment="1">
      <alignment horizontal="right"/>
    </xf>
    <xf numFmtId="2" fontId="24" fillId="14" borderId="0" xfId="0" applyNumberFormat="1" applyFont="1" applyFill="1" applyBorder="1" applyAlignment="1">
      <alignment horizontal="center"/>
    </xf>
    <xf numFmtId="0" fontId="6" fillId="0" borderId="18" xfId="0" applyFont="1" applyFill="1" applyBorder="1"/>
    <xf numFmtId="0" fontId="6" fillId="0" borderId="23" xfId="0" applyFont="1" applyFill="1" applyBorder="1"/>
    <xf numFmtId="0" fontId="70" fillId="5" borderId="4" xfId="0" applyNumberFormat="1" applyFont="1" applyFill="1" applyBorder="1" applyAlignment="1">
      <alignment horizontal="center"/>
    </xf>
    <xf numFmtId="0" fontId="16" fillId="5" borderId="4" xfId="0" applyFont="1" applyFill="1" applyBorder="1" applyAlignment="1">
      <alignment horizontal="center"/>
    </xf>
    <xf numFmtId="0" fontId="3" fillId="0" borderId="25" xfId="0" applyFont="1" applyFill="1" applyBorder="1" applyAlignment="1">
      <alignment horizontal="center"/>
    </xf>
    <xf numFmtId="168" fontId="6" fillId="12" borderId="0" xfId="0" applyNumberFormat="1" applyFont="1" applyFill="1" applyBorder="1" applyAlignment="1">
      <alignment horizontal="center"/>
    </xf>
    <xf numFmtId="0" fontId="0" fillId="0" borderId="0" xfId="0"/>
    <xf numFmtId="0" fontId="4" fillId="2" borderId="5" xfId="0" applyNumberFormat="1" applyFont="1" applyFill="1" applyBorder="1" applyAlignment="1">
      <alignment horizontal="center"/>
    </xf>
    <xf numFmtId="0" fontId="4" fillId="2" borderId="4" xfId="0" applyNumberFormat="1" applyFont="1" applyFill="1" applyBorder="1" applyAlignment="1">
      <alignment horizontal="center"/>
    </xf>
    <xf numFmtId="0" fontId="4" fillId="0" borderId="4" xfId="0" applyFont="1" applyBorder="1" applyAlignment="1">
      <alignment horizontal="center"/>
    </xf>
    <xf numFmtId="0" fontId="4" fillId="9" borderId="29" xfId="0" applyNumberFormat="1" applyFont="1" applyFill="1" applyBorder="1" applyAlignment="1">
      <alignment horizontal="center" vertical="center"/>
    </xf>
    <xf numFmtId="0" fontId="42" fillId="2" borderId="4" xfId="0" applyNumberFormat="1" applyFont="1" applyFill="1" applyBorder="1" applyAlignment="1">
      <alignment vertical="center"/>
    </xf>
    <xf numFmtId="0" fontId="6" fillId="2" borderId="5" xfId="0" applyNumberFormat="1" applyFont="1" applyFill="1" applyBorder="1" applyAlignment="1">
      <alignment vertical="center"/>
    </xf>
    <xf numFmtId="168" fontId="6" fillId="0" borderId="5" xfId="1" applyNumberFormat="1" applyFont="1" applyBorder="1" applyAlignment="1">
      <alignment horizontal="center" vertical="center"/>
    </xf>
    <xf numFmtId="0" fontId="0" fillId="0" borderId="0" xfId="0" applyBorder="1"/>
    <xf numFmtId="0" fontId="42" fillId="2" borderId="6" xfId="0" applyNumberFormat="1" applyFont="1" applyFill="1" applyBorder="1" applyAlignment="1">
      <alignment vertical="center"/>
    </xf>
    <xf numFmtId="0" fontId="6" fillId="0" borderId="0" xfId="0" applyFont="1" applyFill="1" applyBorder="1"/>
    <xf numFmtId="0" fontId="3" fillId="0" borderId="0" xfId="0" applyFont="1" applyFill="1" applyBorder="1" applyAlignment="1">
      <alignment horizontal="center"/>
    </xf>
    <xf numFmtId="0" fontId="6" fillId="0" borderId="25" xfId="0" applyFont="1" applyFill="1" applyBorder="1"/>
    <xf numFmtId="0" fontId="6" fillId="0" borderId="0" xfId="0" applyFont="1" applyFill="1" applyBorder="1" applyAlignment="1">
      <alignment horizontal="center"/>
    </xf>
    <xf numFmtId="0" fontId="15" fillId="0" borderId="4" xfId="0" applyFont="1" applyFill="1" applyBorder="1" applyAlignment="1">
      <alignment horizontal="center"/>
    </xf>
    <xf numFmtId="1" fontId="43" fillId="0" borderId="25" xfId="0" applyNumberFormat="1" applyFont="1" applyFill="1" applyBorder="1" applyAlignment="1">
      <alignment horizontal="center"/>
    </xf>
    <xf numFmtId="164" fontId="24" fillId="0" borderId="0" xfId="2" applyNumberFormat="1" applyFont="1" applyFill="1" applyBorder="1" applyAlignment="1">
      <alignment horizontal="right"/>
    </xf>
    <xf numFmtId="0" fontId="24" fillId="0" borderId="0" xfId="0" applyFont="1" applyFill="1" applyBorder="1" applyAlignment="1">
      <alignment horizontal="right"/>
    </xf>
    <xf numFmtId="0" fontId="15" fillId="0" borderId="0" xfId="0" applyFont="1" applyFill="1" applyBorder="1" applyAlignment="1">
      <alignment horizontal="center"/>
    </xf>
    <xf numFmtId="2" fontId="24" fillId="0" borderId="0" xfId="0" applyNumberFormat="1" applyFont="1" applyFill="1" applyBorder="1" applyAlignment="1">
      <alignment horizontal="center"/>
    </xf>
    <xf numFmtId="0" fontId="4" fillId="0" borderId="4" xfId="0" applyFont="1" applyFill="1" applyBorder="1" applyAlignment="1">
      <alignment horizontal="center"/>
    </xf>
    <xf numFmtId="0" fontId="3" fillId="3" borderId="0" xfId="0" applyFont="1" applyFill="1" applyBorder="1" applyAlignment="1">
      <alignment horizontal="center"/>
    </xf>
    <xf numFmtId="164" fontId="24" fillId="0" borderId="0" xfId="0" applyNumberFormat="1" applyFont="1" applyFill="1" applyBorder="1" applyAlignment="1">
      <alignment horizontal="right"/>
    </xf>
    <xf numFmtId="0" fontId="6" fillId="0" borderId="8" xfId="0" applyFont="1" applyFill="1" applyBorder="1"/>
    <xf numFmtId="0" fontId="6" fillId="0" borderId="26" xfId="0" applyFont="1" applyFill="1" applyBorder="1"/>
    <xf numFmtId="0" fontId="4" fillId="0" borderId="0" xfId="0" applyNumberFormat="1" applyFont="1" applyFill="1" applyBorder="1" applyAlignment="1">
      <alignment horizontal="center"/>
    </xf>
    <xf numFmtId="0" fontId="4" fillId="0" borderId="6" xfId="0" applyFont="1" applyBorder="1" applyAlignment="1">
      <alignment horizontal="center"/>
    </xf>
    <xf numFmtId="3" fontId="3" fillId="9" borderId="30" xfId="0" applyNumberFormat="1" applyFont="1" applyFill="1" applyBorder="1" applyAlignment="1">
      <alignment vertical="center"/>
    </xf>
    <xf numFmtId="0" fontId="6" fillId="4" borderId="10" xfId="0" applyFont="1" applyFill="1" applyBorder="1"/>
    <xf numFmtId="0" fontId="6" fillId="4" borderId="0" xfId="0" applyFont="1" applyFill="1" applyBorder="1"/>
    <xf numFmtId="0" fontId="3" fillId="4" borderId="0" xfId="0" applyFont="1" applyFill="1" applyBorder="1" applyAlignment="1">
      <alignment horizontal="center"/>
    </xf>
    <xf numFmtId="0" fontId="6" fillId="4" borderId="25" xfId="0" applyFont="1" applyFill="1" applyBorder="1"/>
    <xf numFmtId="0" fontId="6" fillId="4" borderId="22" xfId="0" applyFont="1" applyFill="1" applyBorder="1"/>
    <xf numFmtId="0" fontId="6" fillId="4" borderId="27" xfId="0" applyFont="1" applyFill="1" applyBorder="1"/>
    <xf numFmtId="0" fontId="6" fillId="14" borderId="0" xfId="0" applyFont="1" applyFill="1" applyBorder="1"/>
    <xf numFmtId="166" fontId="21" fillId="5" borderId="2" xfId="0" applyNumberFormat="1" applyFont="1" applyFill="1" applyBorder="1" applyAlignment="1">
      <alignment horizontal="center"/>
    </xf>
    <xf numFmtId="0" fontId="0" fillId="8" borderId="0" xfId="0" applyNumberFormat="1" applyFill="1" applyBorder="1" applyAlignment="1"/>
    <xf numFmtId="6" fontId="6" fillId="8" borderId="0" xfId="0" applyNumberFormat="1" applyFont="1" applyFill="1" applyBorder="1" applyAlignment="1">
      <alignment horizontal="right" wrapText="1"/>
    </xf>
    <xf numFmtId="0" fontId="38" fillId="0" borderId="0" xfId="0" applyFont="1" applyFill="1" applyBorder="1" applyAlignment="1">
      <alignment vertical="center" wrapText="1"/>
    </xf>
    <xf numFmtId="0" fontId="0" fillId="0" borderId="2" xfId="0" applyBorder="1"/>
    <xf numFmtId="0" fontId="0" fillId="0" borderId="3" xfId="0" applyBorder="1"/>
    <xf numFmtId="164" fontId="24" fillId="0" borderId="5" xfId="2" applyNumberFormat="1" applyFont="1" applyBorder="1" applyAlignment="1">
      <alignment horizontal="center"/>
    </xf>
    <xf numFmtId="0" fontId="0" fillId="0" borderId="0" xfId="0" applyNumberFormat="1" applyBorder="1" applyAlignment="1"/>
    <xf numFmtId="0" fontId="44" fillId="8" borderId="0" xfId="0" applyFont="1" applyFill="1"/>
    <xf numFmtId="164" fontId="28" fillId="8" borderId="0" xfId="2" applyNumberFormat="1" applyFont="1" applyFill="1" applyBorder="1"/>
    <xf numFmtId="0" fontId="28" fillId="8" borderId="0" xfId="0" applyFont="1" applyFill="1" applyBorder="1"/>
    <xf numFmtId="3" fontId="28" fillId="8" borderId="0" xfId="0" applyNumberFormat="1" applyFont="1" applyFill="1" applyBorder="1"/>
    <xf numFmtId="3" fontId="28" fillId="8" borderId="0" xfId="5" applyNumberFormat="1" applyFont="1" applyFill="1" applyBorder="1"/>
    <xf numFmtId="0" fontId="44" fillId="8" borderId="0" xfId="0" applyFont="1" applyFill="1" applyBorder="1"/>
    <xf numFmtId="9" fontId="6" fillId="8" borderId="0" xfId="2" applyFont="1" applyFill="1" applyBorder="1"/>
    <xf numFmtId="3" fontId="6" fillId="8" borderId="0" xfId="0" applyNumberFormat="1" applyFont="1" applyFill="1" applyBorder="1" applyAlignment="1"/>
    <xf numFmtId="0" fontId="0" fillId="0" borderId="0" xfId="0" applyNumberFormat="1" applyFill="1" applyBorder="1" applyAlignment="1"/>
    <xf numFmtId="0" fontId="0" fillId="0" borderId="22" xfId="0" applyNumberFormat="1" applyBorder="1" applyAlignment="1"/>
    <xf numFmtId="168" fontId="3" fillId="8" borderId="0" xfId="0" applyNumberFormat="1" applyFont="1" applyFill="1" applyAlignment="1">
      <alignment horizontal="center"/>
    </xf>
    <xf numFmtId="9" fontId="6" fillId="8" borderId="0" xfId="2" applyFont="1" applyFill="1" applyAlignment="1">
      <alignment horizontal="center"/>
    </xf>
    <xf numFmtId="168" fontId="4" fillId="8" borderId="0" xfId="0" applyNumberFormat="1" applyFont="1" applyFill="1" applyAlignment="1">
      <alignment horizontal="center"/>
    </xf>
    <xf numFmtId="0" fontId="3" fillId="0" borderId="39" xfId="0" applyFont="1" applyFill="1" applyBorder="1"/>
    <xf numFmtId="0" fontId="15" fillId="0" borderId="5" xfId="0" applyFont="1" applyFill="1" applyBorder="1" applyAlignment="1">
      <alignment horizontal="center"/>
    </xf>
    <xf numFmtId="0" fontId="6" fillId="0" borderId="41" xfId="0" applyFont="1" applyFill="1" applyBorder="1"/>
    <xf numFmtId="0" fontId="29" fillId="8" borderId="8" xfId="0" applyFont="1" applyFill="1" applyBorder="1" applyAlignment="1">
      <alignment vertical="center" wrapText="1"/>
    </xf>
    <xf numFmtId="0" fontId="84" fillId="8" borderId="25" xfId="0" applyFont="1" applyFill="1" applyBorder="1" applyAlignment="1">
      <alignment horizontal="center" wrapText="1"/>
    </xf>
    <xf numFmtId="0" fontId="45" fillId="8" borderId="25" xfId="0" applyFont="1" applyFill="1" applyBorder="1" applyAlignment="1">
      <alignment horizontal="center" wrapText="1"/>
    </xf>
    <xf numFmtId="0" fontId="45" fillId="12" borderId="25" xfId="0" applyFont="1" applyFill="1" applyBorder="1"/>
    <xf numFmtId="0" fontId="45" fillId="3" borderId="25" xfId="0" applyFont="1" applyFill="1" applyBorder="1"/>
    <xf numFmtId="0" fontId="85" fillId="6" borderId="25" xfId="0" applyFont="1" applyFill="1" applyBorder="1" applyAlignment="1">
      <alignment horizontal="center" wrapText="1"/>
    </xf>
    <xf numFmtId="0" fontId="64" fillId="0" borderId="25" xfId="0" applyFont="1" applyFill="1" applyBorder="1" applyAlignment="1">
      <alignment horizontal="center" vertical="center" wrapText="1"/>
    </xf>
    <xf numFmtId="0" fontId="6" fillId="0" borderId="43" xfId="0" applyFont="1" applyFill="1" applyBorder="1"/>
    <xf numFmtId="9" fontId="24" fillId="2" borderId="44" xfId="2" applyNumberFormat="1" applyFont="1" applyFill="1" applyBorder="1" applyAlignment="1">
      <alignment horizontal="right"/>
    </xf>
    <xf numFmtId="0" fontId="24" fillId="0" borderId="32" xfId="0" applyFont="1" applyFill="1" applyBorder="1" applyAlignment="1">
      <alignment horizontal="right"/>
    </xf>
    <xf numFmtId="10" fontId="24" fillId="2" borderId="44" xfId="2" applyNumberFormat="1" applyFont="1" applyFill="1" applyBorder="1" applyAlignment="1">
      <alignment horizontal="right"/>
    </xf>
    <xf numFmtId="0" fontId="6" fillId="2" borderId="41" xfId="0" applyNumberFormat="1" applyFont="1" applyFill="1" applyBorder="1" applyAlignment="1"/>
    <xf numFmtId="0" fontId="4" fillId="2" borderId="34" xfId="0" applyNumberFormat="1" applyFont="1" applyFill="1" applyBorder="1" applyAlignment="1">
      <alignment horizontal="center"/>
    </xf>
    <xf numFmtId="164" fontId="24" fillId="2" borderId="45" xfId="2" applyNumberFormat="1" applyFont="1" applyFill="1" applyBorder="1" applyAlignment="1">
      <alignment horizontal="right"/>
    </xf>
    <xf numFmtId="0" fontId="6" fillId="0" borderId="39" xfId="0" applyNumberFormat="1" applyFont="1" applyFill="1" applyBorder="1" applyAlignment="1"/>
    <xf numFmtId="0" fontId="4" fillId="0" borderId="46" xfId="0" applyNumberFormat="1" applyFont="1" applyFill="1" applyBorder="1" applyAlignment="1">
      <alignment horizontal="center"/>
    </xf>
    <xf numFmtId="2" fontId="24" fillId="0" borderId="40" xfId="2" applyNumberFormat="1" applyFont="1" applyFill="1" applyBorder="1" applyAlignment="1">
      <alignment horizontal="right"/>
    </xf>
    <xf numFmtId="0" fontId="6" fillId="0" borderId="43" xfId="0" applyNumberFormat="1" applyFont="1" applyFill="1" applyBorder="1" applyAlignment="1"/>
    <xf numFmtId="2" fontId="6" fillId="0" borderId="32" xfId="2" applyNumberFormat="1" applyFont="1" applyFill="1" applyBorder="1" applyAlignment="1">
      <alignment horizontal="right"/>
    </xf>
    <xf numFmtId="2" fontId="3" fillId="12" borderId="32" xfId="2" applyNumberFormat="1" applyFont="1" applyFill="1" applyBorder="1" applyAlignment="1">
      <alignment horizontal="right"/>
    </xf>
    <xf numFmtId="2" fontId="24" fillId="0" borderId="32" xfId="2" applyNumberFormat="1" applyFont="1" applyFill="1" applyBorder="1" applyAlignment="1">
      <alignment horizontal="right"/>
    </xf>
    <xf numFmtId="0" fontId="6" fillId="0" borderId="41" xfId="0" applyNumberFormat="1" applyFont="1" applyFill="1" applyBorder="1" applyAlignment="1"/>
    <xf numFmtId="0" fontId="4" fillId="0" borderId="34" xfId="0" applyNumberFormat="1" applyFont="1" applyFill="1" applyBorder="1" applyAlignment="1">
      <alignment horizontal="center"/>
    </xf>
    <xf numFmtId="2" fontId="3" fillId="12" borderId="42" xfId="2" applyNumberFormat="1" applyFont="1" applyFill="1" applyBorder="1" applyAlignment="1">
      <alignment horizontal="right"/>
    </xf>
    <xf numFmtId="0" fontId="6" fillId="0" borderId="39" xfId="0" applyFont="1" applyBorder="1"/>
    <xf numFmtId="0" fontId="4" fillId="2" borderId="46" xfId="0" applyNumberFormat="1" applyFont="1" applyFill="1" applyBorder="1" applyAlignment="1">
      <alignment horizontal="center"/>
    </xf>
    <xf numFmtId="9" fontId="6" fillId="2" borderId="40" xfId="2" applyNumberFormat="1" applyFont="1" applyFill="1" applyBorder="1" applyAlignment="1">
      <alignment horizontal="right"/>
    </xf>
    <xf numFmtId="0" fontId="6" fillId="0" borderId="47" xfId="0" applyFont="1" applyFill="1" applyBorder="1"/>
    <xf numFmtId="10" fontId="24" fillId="2" borderId="45" xfId="2" applyNumberFormat="1" applyFont="1" applyFill="1" applyBorder="1" applyAlignment="1">
      <alignment horizontal="right"/>
    </xf>
    <xf numFmtId="0" fontId="6" fillId="0" borderId="39" xfId="0" applyFont="1" applyFill="1" applyBorder="1"/>
    <xf numFmtId="10" fontId="6" fillId="2" borderId="40" xfId="2" applyNumberFormat="1" applyFont="1" applyFill="1" applyBorder="1" applyAlignment="1">
      <alignment horizontal="right"/>
    </xf>
    <xf numFmtId="168" fontId="24" fillId="2" borderId="42" xfId="0" applyNumberFormat="1" applyFont="1" applyFill="1" applyBorder="1" applyAlignment="1">
      <alignment horizontal="right"/>
    </xf>
    <xf numFmtId="1" fontId="43" fillId="0" borderId="0" xfId="0" applyNumberFormat="1" applyFont="1" applyFill="1" applyBorder="1" applyAlignment="1">
      <alignment horizontal="left"/>
    </xf>
    <xf numFmtId="0" fontId="6" fillId="2" borderId="39" xfId="0" applyNumberFormat="1" applyFont="1" applyFill="1" applyBorder="1" applyAlignment="1"/>
    <xf numFmtId="173" fontId="24" fillId="0" borderId="40" xfId="5" applyNumberFormat="1" applyFont="1" applyFill="1" applyBorder="1" applyAlignment="1">
      <alignment horizontal="right"/>
    </xf>
    <xf numFmtId="0" fontId="6" fillId="0" borderId="43" xfId="0" applyFont="1" applyBorder="1"/>
    <xf numFmtId="164" fontId="24" fillId="0" borderId="32" xfId="2" applyNumberFormat="1" applyFont="1" applyFill="1" applyBorder="1" applyAlignment="1">
      <alignment horizontal="right"/>
    </xf>
    <xf numFmtId="0" fontId="6" fillId="0" borderId="41" xfId="0" applyFont="1" applyBorder="1"/>
    <xf numFmtId="0" fontId="4" fillId="0" borderId="34" xfId="0" applyFont="1" applyBorder="1" applyAlignment="1">
      <alignment horizontal="center"/>
    </xf>
    <xf numFmtId="178" fontId="6" fillId="0" borderId="42" xfId="0" applyNumberFormat="1" applyFont="1" applyFill="1" applyBorder="1" applyAlignment="1">
      <alignment horizontal="right"/>
    </xf>
    <xf numFmtId="0" fontId="6" fillId="0" borderId="48" xfId="0" applyFont="1" applyBorder="1" applyAlignment="1"/>
    <xf numFmtId="3" fontId="24" fillId="6" borderId="40" xfId="0" applyNumberFormat="1" applyFont="1" applyFill="1" applyBorder="1" applyAlignment="1">
      <alignment horizontal="center"/>
    </xf>
    <xf numFmtId="0" fontId="6" fillId="2" borderId="43" xfId="0" applyNumberFormat="1" applyFont="1" applyFill="1" applyBorder="1" applyAlignment="1"/>
    <xf numFmtId="164" fontId="24" fillId="0" borderId="42" xfId="2" applyNumberFormat="1" applyFont="1" applyFill="1" applyBorder="1" applyAlignment="1">
      <alignment horizontal="right"/>
    </xf>
    <xf numFmtId="0" fontId="4" fillId="0" borderId="46" xfId="0" applyFont="1" applyBorder="1" applyAlignment="1">
      <alignment horizontal="center"/>
    </xf>
    <xf numFmtId="43" fontId="24" fillId="0" borderId="40" xfId="5" applyNumberFormat="1" applyFont="1" applyFill="1" applyBorder="1" applyAlignment="1">
      <alignment horizontal="right"/>
    </xf>
    <xf numFmtId="177" fontId="6" fillId="0" borderId="32" xfId="5" applyNumberFormat="1" applyFont="1" applyFill="1" applyBorder="1" applyAlignment="1">
      <alignment horizontal="right"/>
    </xf>
    <xf numFmtId="0" fontId="6" fillId="0" borderId="50" xfId="0" applyFont="1" applyBorder="1" applyAlignment="1">
      <alignment horizontal="left"/>
    </xf>
    <xf numFmtId="3" fontId="24" fillId="6" borderId="32" xfId="0" applyNumberFormat="1" applyFont="1" applyFill="1" applyBorder="1" applyAlignment="1">
      <alignment horizontal="center"/>
    </xf>
    <xf numFmtId="0" fontId="6" fillId="0" borderId="51" xfId="0" applyFont="1" applyBorder="1"/>
    <xf numFmtId="164" fontId="24" fillId="0" borderId="52" xfId="2" applyNumberFormat="1" applyFont="1" applyFill="1" applyBorder="1" applyAlignment="1">
      <alignment horizontal="right"/>
    </xf>
    <xf numFmtId="0" fontId="4" fillId="2" borderId="53" xfId="0" applyNumberFormat="1" applyFont="1" applyFill="1" applyBorder="1" applyAlignment="1">
      <alignment horizontal="center"/>
    </xf>
    <xf numFmtId="164" fontId="24" fillId="0" borderId="54" xfId="2" applyNumberFormat="1" applyFont="1" applyFill="1" applyBorder="1" applyAlignment="1">
      <alignment horizontal="right"/>
    </xf>
    <xf numFmtId="0" fontId="6" fillId="2" borderId="55" xfId="0" applyNumberFormat="1" applyFont="1" applyFill="1" applyBorder="1" applyAlignment="1"/>
    <xf numFmtId="6" fontId="24" fillId="0" borderId="32" xfId="0" applyNumberFormat="1" applyFont="1" applyFill="1" applyBorder="1" applyAlignment="1">
      <alignment horizontal="right"/>
    </xf>
    <xf numFmtId="2" fontId="24" fillId="6" borderId="40" xfId="0" applyNumberFormat="1" applyFont="1" applyFill="1" applyBorder="1" applyAlignment="1">
      <alignment horizontal="center"/>
    </xf>
    <xf numFmtId="0" fontId="69" fillId="5" borderId="41" xfId="0" applyFont="1" applyFill="1" applyBorder="1" applyAlignment="1">
      <alignment horizontal="left" indent="1"/>
    </xf>
    <xf numFmtId="0" fontId="70" fillId="5" borderId="34" xfId="0" applyFont="1" applyFill="1" applyBorder="1" applyAlignment="1">
      <alignment horizontal="center"/>
    </xf>
    <xf numFmtId="168" fontId="16" fillId="5" borderId="45" xfId="0" applyNumberFormat="1" applyFont="1" applyFill="1" applyBorder="1" applyAlignment="1">
      <alignment horizontal="right"/>
    </xf>
    <xf numFmtId="168" fontId="3" fillId="14" borderId="45" xfId="1" applyNumberFormat="1" applyFont="1" applyFill="1" applyBorder="1" applyAlignment="1">
      <alignment horizontal="right"/>
    </xf>
    <xf numFmtId="176" fontId="24" fillId="0" borderId="32" xfId="0" applyNumberFormat="1" applyFont="1" applyFill="1" applyBorder="1" applyAlignment="1">
      <alignment horizontal="right"/>
    </xf>
    <xf numFmtId="0" fontId="4" fillId="2" borderId="56" xfId="0" applyNumberFormat="1" applyFont="1" applyFill="1" applyBorder="1" applyAlignment="1">
      <alignment horizontal="center"/>
    </xf>
    <xf numFmtId="0" fontId="4" fillId="2" borderId="29" xfId="0" applyNumberFormat="1" applyFont="1" applyFill="1" applyBorder="1" applyAlignment="1">
      <alignment horizontal="center"/>
    </xf>
    <xf numFmtId="0" fontId="6" fillId="0" borderId="30" xfId="0" applyFont="1" applyFill="1" applyBorder="1"/>
    <xf numFmtId="0" fontId="24" fillId="0" borderId="31" xfId="0" applyFont="1" applyFill="1" applyBorder="1" applyAlignment="1">
      <alignment horizontal="right"/>
    </xf>
    <xf numFmtId="0" fontId="69" fillId="5" borderId="43" xfId="0" applyNumberFormat="1" applyFont="1" applyFill="1" applyBorder="1" applyAlignment="1">
      <alignment horizontal="left" indent="1"/>
    </xf>
    <xf numFmtId="6" fontId="24" fillId="0" borderId="32" xfId="0" applyNumberFormat="1" applyFont="1" applyFill="1" applyBorder="1" applyAlignment="1">
      <alignment horizontal="right" vertical="center"/>
    </xf>
    <xf numFmtId="168" fontId="6" fillId="5" borderId="32" xfId="1" applyNumberFormat="1" applyFont="1" applyFill="1" applyBorder="1" applyAlignment="1">
      <alignment horizontal="right"/>
    </xf>
    <xf numFmtId="168" fontId="6" fillId="0" borderId="40" xfId="1" applyNumberFormat="1" applyFont="1" applyFill="1" applyBorder="1" applyAlignment="1">
      <alignment horizontal="right"/>
    </xf>
    <xf numFmtId="6" fontId="6" fillId="0" borderId="32" xfId="0" applyNumberFormat="1" applyFont="1" applyFill="1" applyBorder="1" applyAlignment="1">
      <alignment horizontal="right"/>
    </xf>
    <xf numFmtId="168" fontId="6" fillId="0" borderId="42" xfId="1" applyNumberFormat="1" applyFont="1" applyBorder="1" applyAlignment="1">
      <alignment horizontal="right"/>
    </xf>
    <xf numFmtId="0" fontId="6" fillId="0" borderId="39" xfId="0" applyFont="1" applyFill="1" applyBorder="1" applyAlignment="1">
      <alignment horizontal="left"/>
    </xf>
    <xf numFmtId="0" fontId="24" fillId="0" borderId="40" xfId="0" applyFont="1" applyFill="1" applyBorder="1" applyAlignment="1">
      <alignment horizontal="right"/>
    </xf>
    <xf numFmtId="0" fontId="6" fillId="0" borderId="43" xfId="0" applyFont="1" applyFill="1" applyBorder="1" applyAlignment="1">
      <alignment horizontal="left"/>
    </xf>
    <xf numFmtId="164" fontId="24" fillId="2" borderId="32" xfId="2" applyNumberFormat="1" applyFont="1" applyFill="1" applyBorder="1" applyAlignment="1">
      <alignment horizontal="right"/>
    </xf>
    <xf numFmtId="0" fontId="6" fillId="0" borderId="41" xfId="0" applyFont="1" applyFill="1" applyBorder="1" applyAlignment="1">
      <alignment horizontal="left"/>
    </xf>
    <xf numFmtId="168" fontId="6" fillId="0" borderId="42" xfId="0" applyNumberFormat="1" applyFont="1" applyFill="1" applyBorder="1" applyAlignment="1">
      <alignment horizontal="right"/>
    </xf>
    <xf numFmtId="0" fontId="21" fillId="0" borderId="48" xfId="0" applyFont="1" applyFill="1" applyBorder="1"/>
    <xf numFmtId="0" fontId="6" fillId="0" borderId="57" xfId="0" applyFont="1" applyFill="1" applyBorder="1"/>
    <xf numFmtId="6" fontId="6" fillId="0" borderId="42" xfId="0" applyNumberFormat="1" applyFont="1" applyFill="1" applyBorder="1" applyAlignment="1">
      <alignment horizontal="right"/>
    </xf>
    <xf numFmtId="0" fontId="6" fillId="0" borderId="57" xfId="0" applyFont="1" applyFill="1" applyBorder="1" applyAlignment="1">
      <alignment horizontal="right"/>
    </xf>
    <xf numFmtId="164" fontId="24" fillId="0" borderId="42" xfId="0" applyNumberFormat="1" applyFont="1" applyFill="1" applyBorder="1" applyAlignment="1">
      <alignment horizontal="right"/>
    </xf>
    <xf numFmtId="0" fontId="6" fillId="0" borderId="30" xfId="0" applyFont="1" applyBorder="1"/>
    <xf numFmtId="9" fontId="24" fillId="6" borderId="31" xfId="2" applyFont="1" applyFill="1" applyBorder="1" applyAlignment="1">
      <alignment horizontal="center"/>
    </xf>
    <xf numFmtId="164" fontId="24" fillId="0" borderId="40" xfId="2" applyNumberFormat="1" applyFont="1" applyFill="1" applyBorder="1" applyAlignment="1">
      <alignment horizontal="right"/>
    </xf>
    <xf numFmtId="0" fontId="6" fillId="0" borderId="49" xfId="0" applyFont="1" applyFill="1" applyBorder="1"/>
    <xf numFmtId="9" fontId="24" fillId="6" borderId="45" xfId="2" applyFont="1" applyFill="1" applyBorder="1" applyAlignment="1">
      <alignment horizontal="center"/>
    </xf>
    <xf numFmtId="0" fontId="6" fillId="0" borderId="59" xfId="0" applyFont="1" applyFill="1" applyBorder="1"/>
    <xf numFmtId="0" fontId="4" fillId="2" borderId="60" xfId="0" applyNumberFormat="1" applyFont="1" applyFill="1" applyBorder="1" applyAlignment="1">
      <alignment horizontal="center"/>
    </xf>
    <xf numFmtId="10" fontId="4" fillId="0" borderId="61" xfId="2" applyNumberFormat="1" applyFont="1" applyFill="1" applyBorder="1" applyAlignment="1">
      <alignment horizontal="right"/>
    </xf>
    <xf numFmtId="0" fontId="4" fillId="0" borderId="42" xfId="0" applyFont="1" applyFill="1" applyBorder="1" applyAlignment="1">
      <alignment horizontal="center"/>
    </xf>
    <xf numFmtId="0" fontId="6" fillId="2" borderId="47" xfId="0" applyNumberFormat="1" applyFont="1" applyFill="1" applyBorder="1" applyAlignment="1"/>
    <xf numFmtId="0" fontId="69" fillId="5" borderId="39" xfId="0" applyFont="1" applyFill="1" applyBorder="1"/>
    <xf numFmtId="2" fontId="16" fillId="5" borderId="40" xfId="0" applyNumberFormat="1" applyFont="1" applyFill="1" applyBorder="1" applyAlignment="1">
      <alignment horizontal="center"/>
    </xf>
    <xf numFmtId="0" fontId="69" fillId="5" borderId="43" xfId="0" applyFont="1" applyFill="1" applyBorder="1"/>
    <xf numFmtId="2" fontId="16" fillId="5" borderId="44" xfId="0" applyNumberFormat="1" applyFont="1" applyFill="1" applyBorder="1" applyAlignment="1">
      <alignment horizontal="right"/>
    </xf>
    <xf numFmtId="0" fontId="69" fillId="5" borderId="51" xfId="0" applyFont="1" applyFill="1" applyBorder="1"/>
    <xf numFmtId="164" fontId="16" fillId="5" borderId="52" xfId="2" applyNumberFormat="1" applyFont="1" applyFill="1" applyBorder="1" applyAlignment="1">
      <alignment horizontal="right"/>
    </xf>
    <xf numFmtId="0" fontId="74" fillId="5" borderId="49" xfId="3" applyFont="1" applyFill="1" applyBorder="1" applyAlignment="1" applyProtection="1"/>
    <xf numFmtId="0" fontId="6" fillId="5" borderId="54" xfId="0" applyFont="1" applyFill="1" applyBorder="1"/>
    <xf numFmtId="2" fontId="24" fillId="6" borderId="31" xfId="0" applyNumberFormat="1" applyFont="1" applyFill="1" applyBorder="1" applyAlignment="1">
      <alignment horizontal="center"/>
    </xf>
    <xf numFmtId="164" fontId="24" fillId="2" borderId="40" xfId="2" applyNumberFormat="1" applyFont="1" applyFill="1" applyBorder="1" applyAlignment="1">
      <alignment horizontal="right"/>
    </xf>
    <xf numFmtId="0" fontId="37" fillId="2" borderId="39" xfId="0" applyNumberFormat="1" applyFont="1" applyFill="1" applyBorder="1" applyAlignment="1"/>
    <xf numFmtId="168" fontId="24" fillId="14" borderId="40" xfId="1" applyNumberFormat="1" applyFont="1" applyFill="1" applyBorder="1" applyAlignment="1">
      <alignment horizontal="right"/>
    </xf>
    <xf numFmtId="170" fontId="24" fillId="2" borderId="44" xfId="0" applyNumberFormat="1" applyFont="1" applyFill="1" applyBorder="1" applyAlignment="1">
      <alignment horizontal="right"/>
    </xf>
    <xf numFmtId="2" fontId="24" fillId="2" borderId="45" xfId="0" applyNumberFormat="1" applyFont="1" applyFill="1" applyBorder="1" applyAlignment="1">
      <alignment horizontal="right"/>
    </xf>
    <xf numFmtId="164" fontId="24" fillId="2" borderId="44" xfId="2" applyNumberFormat="1" applyFont="1" applyFill="1" applyBorder="1" applyAlignment="1">
      <alignment horizontal="right"/>
    </xf>
    <xf numFmtId="168" fontId="6" fillId="0" borderId="32" xfId="0" applyNumberFormat="1" applyFont="1" applyFill="1" applyBorder="1" applyAlignment="1">
      <alignment horizontal="right"/>
    </xf>
    <xf numFmtId="168" fontId="24" fillId="2" borderId="44" xfId="0" applyNumberFormat="1" applyFont="1" applyFill="1" applyBorder="1" applyAlignment="1">
      <alignment horizontal="right"/>
    </xf>
    <xf numFmtId="0" fontId="6" fillId="0" borderId="55" xfId="0" applyFont="1" applyFill="1" applyBorder="1"/>
    <xf numFmtId="0" fontId="4" fillId="0" borderId="46" xfId="0" applyFont="1" applyFill="1" applyBorder="1" applyAlignment="1">
      <alignment horizontal="center"/>
    </xf>
    <xf numFmtId="1" fontId="24" fillId="0" borderId="40" xfId="0" applyNumberFormat="1" applyFont="1" applyFill="1" applyBorder="1" applyAlignment="1">
      <alignment horizontal="right"/>
    </xf>
    <xf numFmtId="9" fontId="24" fillId="0" borderId="42" xfId="2" applyNumberFormat="1" applyFont="1" applyFill="1" applyBorder="1" applyAlignment="1">
      <alignment horizontal="right"/>
    </xf>
    <xf numFmtId="0" fontId="6" fillId="0" borderId="50" xfId="0" applyFont="1" applyFill="1" applyBorder="1" applyAlignment="1">
      <alignment horizontal="left"/>
    </xf>
    <xf numFmtId="0" fontId="4" fillId="0" borderId="4" xfId="0" applyFont="1" applyFill="1" applyBorder="1" applyAlignment="1">
      <alignment horizontal="center" vertical="center"/>
    </xf>
    <xf numFmtId="0" fontId="3" fillId="5" borderId="23" xfId="0" applyNumberFormat="1" applyFont="1" applyFill="1" applyBorder="1" applyAlignment="1"/>
    <xf numFmtId="0" fontId="6" fillId="5" borderId="10" xfId="0" applyFont="1" applyFill="1" applyBorder="1"/>
    <xf numFmtId="166" fontId="21" fillId="5" borderId="24" xfId="0" applyNumberFormat="1" applyFont="1" applyFill="1" applyBorder="1" applyAlignment="1">
      <alignment horizontal="center"/>
    </xf>
    <xf numFmtId="1" fontId="24" fillId="0" borderId="32" xfId="0" applyNumberFormat="1" applyFont="1" applyFill="1" applyBorder="1" applyAlignment="1">
      <alignment horizontal="right"/>
    </xf>
    <xf numFmtId="168" fontId="24" fillId="2" borderId="32" xfId="0" applyNumberFormat="1" applyFont="1" applyFill="1" applyBorder="1" applyAlignment="1">
      <alignment horizontal="right"/>
    </xf>
    <xf numFmtId="9" fontId="24" fillId="0" borderId="52" xfId="2" applyNumberFormat="1" applyFont="1" applyFill="1" applyBorder="1" applyAlignment="1">
      <alignment horizontal="right"/>
    </xf>
    <xf numFmtId="0" fontId="21" fillId="0" borderId="48" xfId="0" applyFont="1" applyFill="1" applyBorder="1" applyAlignment="1">
      <alignment horizontal="left"/>
    </xf>
    <xf numFmtId="0" fontId="3" fillId="0" borderId="57" xfId="0" applyFont="1" applyFill="1" applyBorder="1" applyAlignment="1">
      <alignment horizontal="center"/>
    </xf>
    <xf numFmtId="0" fontId="24" fillId="6" borderId="32" xfId="0" applyFont="1" applyFill="1" applyBorder="1" applyAlignment="1">
      <alignment horizontal="center"/>
    </xf>
    <xf numFmtId="0" fontId="4" fillId="0" borderId="34" xfId="0" applyFont="1" applyFill="1" applyBorder="1" applyAlignment="1">
      <alignment horizontal="center"/>
    </xf>
    <xf numFmtId="9" fontId="24" fillId="0" borderId="44" xfId="2" applyFont="1" applyFill="1" applyBorder="1" applyAlignment="1">
      <alignment horizontal="right"/>
    </xf>
    <xf numFmtId="168" fontId="6" fillId="0" borderId="45" xfId="2" applyNumberFormat="1" applyFont="1" applyFill="1" applyBorder="1" applyAlignment="1">
      <alignment horizontal="right"/>
    </xf>
    <xf numFmtId="0" fontId="24" fillId="6" borderId="40" xfId="0" applyFont="1" applyFill="1" applyBorder="1" applyAlignment="1">
      <alignment horizontal="center"/>
    </xf>
    <xf numFmtId="2" fontId="24" fillId="2" borderId="32" xfId="0" applyNumberFormat="1" applyFont="1" applyFill="1" applyBorder="1" applyAlignment="1">
      <alignment horizontal="right"/>
    </xf>
    <xf numFmtId="164" fontId="24" fillId="0" borderId="44" xfId="2" applyNumberFormat="1" applyFont="1" applyFill="1" applyBorder="1" applyAlignment="1">
      <alignment horizontal="right"/>
    </xf>
    <xf numFmtId="6" fontId="24" fillId="0" borderId="40" xfId="0" applyNumberFormat="1" applyFont="1" applyFill="1" applyBorder="1" applyAlignment="1">
      <alignment horizontal="right"/>
    </xf>
    <xf numFmtId="9" fontId="24" fillId="0" borderId="32" xfId="2" applyFont="1" applyFill="1" applyBorder="1" applyAlignment="1">
      <alignment horizontal="right"/>
    </xf>
    <xf numFmtId="168" fontId="6" fillId="0" borderId="40" xfId="0" applyNumberFormat="1" applyFont="1" applyFill="1" applyBorder="1" applyAlignment="1">
      <alignment horizontal="right"/>
    </xf>
    <xf numFmtId="0" fontId="6" fillId="2" borderId="62" xfId="0" applyNumberFormat="1" applyFont="1" applyFill="1" applyBorder="1" applyAlignment="1"/>
    <xf numFmtId="0" fontId="3" fillId="0" borderId="47" xfId="0" applyFont="1" applyFill="1" applyBorder="1"/>
    <xf numFmtId="168" fontId="3" fillId="0" borderId="45" xfId="0" applyNumberFormat="1" applyFont="1" applyFill="1" applyBorder="1"/>
    <xf numFmtId="3" fontId="3" fillId="5" borderId="6" xfId="0" applyNumberFormat="1" applyFont="1" applyFill="1" applyBorder="1" applyAlignment="1">
      <alignment horizontal="center"/>
    </xf>
    <xf numFmtId="166" fontId="11" fillId="0" borderId="10" xfId="0" applyNumberFormat="1" applyFont="1" applyFill="1" applyBorder="1" applyAlignment="1">
      <alignment horizontal="center"/>
    </xf>
    <xf numFmtId="0" fontId="6" fillId="0" borderId="10" xfId="0" applyFont="1" applyFill="1" applyBorder="1" applyAlignment="1">
      <alignment horizontal="center"/>
    </xf>
    <xf numFmtId="166" fontId="11" fillId="0" borderId="24" xfId="0" applyNumberFormat="1" applyFont="1" applyFill="1" applyBorder="1" applyAlignment="1">
      <alignment horizontal="center"/>
    </xf>
    <xf numFmtId="0" fontId="27" fillId="0" borderId="0" xfId="0" applyFont="1" applyFill="1" applyBorder="1" applyAlignment="1"/>
    <xf numFmtId="2" fontId="3" fillId="4" borderId="0" xfId="0" applyNumberFormat="1" applyFont="1" applyFill="1" applyBorder="1" applyAlignment="1">
      <alignment horizontal="center"/>
    </xf>
    <xf numFmtId="6" fontId="3" fillId="4" borderId="0" xfId="0" applyNumberFormat="1" applyFont="1" applyFill="1" applyBorder="1" applyAlignment="1">
      <alignment horizontal="center"/>
    </xf>
    <xf numFmtId="0" fontId="6" fillId="4" borderId="24" xfId="0" applyFont="1" applyFill="1" applyBorder="1"/>
    <xf numFmtId="0" fontId="85" fillId="8" borderId="25" xfId="0" applyFont="1" applyFill="1" applyBorder="1" applyAlignment="1">
      <alignment horizontal="center" vertical="center"/>
    </xf>
    <xf numFmtId="170" fontId="5" fillId="12" borderId="0" xfId="1" applyNumberFormat="1" applyFont="1" applyFill="1" applyBorder="1" applyAlignment="1">
      <alignment horizontal="center"/>
    </xf>
    <xf numFmtId="167" fontId="5" fillId="12" borderId="0" xfId="0" applyNumberFormat="1" applyFont="1" applyFill="1" applyBorder="1" applyAlignment="1">
      <alignment horizontal="center"/>
    </xf>
    <xf numFmtId="0" fontId="16" fillId="0" borderId="9" xfId="0" applyFont="1" applyFill="1" applyBorder="1" applyAlignment="1">
      <alignment horizontal="center"/>
    </xf>
    <xf numFmtId="0" fontId="15" fillId="0" borderId="9" xfId="0" applyFont="1" applyFill="1" applyBorder="1" applyAlignment="1">
      <alignment horizontal="center"/>
    </xf>
    <xf numFmtId="0" fontId="54" fillId="0" borderId="13" xfId="0" applyFont="1" applyBorder="1" applyAlignment="1">
      <alignment vertical="center" wrapText="1"/>
    </xf>
    <xf numFmtId="168" fontId="37" fillId="8" borderId="0" xfId="0" applyNumberFormat="1" applyFont="1" applyFill="1" applyAlignment="1"/>
    <xf numFmtId="0" fontId="3" fillId="14" borderId="0" xfId="0" applyFont="1" applyFill="1" applyBorder="1"/>
    <xf numFmtId="0" fontId="62" fillId="5" borderId="23" xfId="0" applyFont="1" applyFill="1" applyBorder="1" applyAlignment="1">
      <alignment vertical="center"/>
    </xf>
    <xf numFmtId="0" fontId="29" fillId="8" borderId="8" xfId="0" applyFont="1" applyFill="1" applyBorder="1" applyAlignment="1">
      <alignment horizontal="left" vertical="center" wrapText="1"/>
    </xf>
    <xf numFmtId="0" fontId="86" fillId="8" borderId="0" xfId="3" applyFont="1" applyFill="1" applyBorder="1" applyAlignment="1" applyProtection="1"/>
    <xf numFmtId="0" fontId="21" fillId="5" borderId="10" xfId="0" applyNumberFormat="1" applyFont="1" applyFill="1" applyBorder="1" applyAlignment="1">
      <alignment horizontal="center"/>
    </xf>
    <xf numFmtId="0" fontId="24" fillId="6" borderId="44" xfId="0" applyFont="1" applyFill="1" applyBorder="1" applyAlignment="1">
      <alignment horizontal="center"/>
    </xf>
    <xf numFmtId="6" fontId="6" fillId="0" borderId="42" xfId="0" applyNumberFormat="1" applyFont="1" applyFill="1" applyBorder="1"/>
    <xf numFmtId="166" fontId="21" fillId="5" borderId="2" xfId="0" applyNumberFormat="1" applyFont="1" applyFill="1" applyBorder="1" applyAlignment="1"/>
    <xf numFmtId="168" fontId="6" fillId="8" borderId="0" xfId="0" applyNumberFormat="1" applyFont="1" applyFill="1" applyBorder="1" applyAlignment="1">
      <alignment horizontal="center"/>
    </xf>
    <xf numFmtId="9" fontId="6" fillId="8" borderId="0" xfId="2" applyFont="1" applyFill="1" applyBorder="1" applyAlignment="1">
      <alignment horizontal="center"/>
    </xf>
    <xf numFmtId="0" fontId="87" fillId="0" borderId="1" xfId="0" applyFont="1" applyBorder="1" applyAlignment="1">
      <alignment vertical="center"/>
    </xf>
    <xf numFmtId="168" fontId="22" fillId="8" borderId="0" xfId="0" applyNumberFormat="1" applyFont="1" applyFill="1" applyBorder="1" applyAlignment="1">
      <alignment horizontal="center"/>
    </xf>
    <xf numFmtId="9" fontId="22" fillId="8" borderId="0" xfId="2" applyFont="1" applyFill="1" applyBorder="1" applyAlignment="1">
      <alignment horizontal="center"/>
    </xf>
    <xf numFmtId="0" fontId="3" fillId="0" borderId="22" xfId="0" applyFont="1" applyFill="1" applyBorder="1" applyAlignment="1">
      <alignment horizontal="right"/>
    </xf>
    <xf numFmtId="0" fontId="21" fillId="5" borderId="23" xfId="0" applyFont="1" applyFill="1" applyBorder="1" applyAlignment="1">
      <alignment horizontal="right"/>
    </xf>
    <xf numFmtId="0" fontId="21" fillId="5" borderId="10" xfId="0" applyFont="1" applyFill="1" applyBorder="1" applyAlignment="1">
      <alignment horizontal="right"/>
    </xf>
    <xf numFmtId="0" fontId="22" fillId="0" borderId="64" xfId="0" applyFont="1" applyFill="1" applyBorder="1" applyAlignment="1">
      <alignment horizontal="center"/>
    </xf>
    <xf numFmtId="164" fontId="24" fillId="0" borderId="65" xfId="2" applyNumberFormat="1" applyFont="1" applyFill="1" applyBorder="1" applyAlignment="1">
      <alignment horizontal="center"/>
    </xf>
    <xf numFmtId="164" fontId="3" fillId="0" borderId="65" xfId="2" applyNumberFormat="1" applyFont="1" applyFill="1" applyBorder="1" applyAlignment="1">
      <alignment horizontal="center"/>
    </xf>
    <xf numFmtId="168" fontId="6" fillId="5" borderId="4" xfId="0" applyNumberFormat="1" applyFont="1" applyFill="1" applyBorder="1" applyAlignment="1">
      <alignment vertical="center"/>
    </xf>
    <xf numFmtId="168" fontId="6" fillId="5" borderId="28" xfId="0" applyNumberFormat="1" applyFont="1" applyFill="1" applyBorder="1" applyAlignment="1">
      <alignment vertical="center"/>
    </xf>
    <xf numFmtId="0" fontId="4" fillId="9" borderId="56" xfId="0" applyNumberFormat="1" applyFont="1" applyFill="1" applyBorder="1" applyAlignment="1">
      <alignment horizontal="center" vertical="center" wrapText="1"/>
    </xf>
    <xf numFmtId="0" fontId="4" fillId="9" borderId="45" xfId="0" applyNumberFormat="1" applyFont="1" applyFill="1" applyBorder="1" applyAlignment="1">
      <alignment horizontal="center" vertical="center" wrapText="1"/>
    </xf>
    <xf numFmtId="0" fontId="0" fillId="5" borderId="3" xfId="0" applyFill="1" applyBorder="1"/>
    <xf numFmtId="0" fontId="3" fillId="8" borderId="0" xfId="0" applyNumberFormat="1" applyFont="1" applyFill="1" applyBorder="1" applyAlignment="1"/>
    <xf numFmtId="0" fontId="6" fillId="5" borderId="24" xfId="0" applyFont="1" applyFill="1" applyBorder="1"/>
    <xf numFmtId="0" fontId="3" fillId="0" borderId="39" xfId="0" applyFont="1" applyFill="1" applyBorder="1" applyAlignment="1">
      <alignment horizontal="right"/>
    </xf>
    <xf numFmtId="0" fontId="3" fillId="0" borderId="10" xfId="0" applyFont="1" applyFill="1" applyBorder="1" applyAlignment="1">
      <alignment horizontal="right"/>
    </xf>
    <xf numFmtId="0" fontId="3" fillId="0" borderId="41" xfId="0" applyFont="1" applyFill="1" applyBorder="1" applyAlignment="1">
      <alignment horizontal="right"/>
    </xf>
    <xf numFmtId="6" fontId="6" fillId="8" borderId="9" xfId="0" applyNumberFormat="1" applyFont="1" applyFill="1" applyBorder="1" applyAlignment="1"/>
    <xf numFmtId="9" fontId="6" fillId="8" borderId="9" xfId="2" applyFont="1" applyFill="1" applyBorder="1" applyAlignment="1">
      <alignment horizontal="center"/>
    </xf>
    <xf numFmtId="168" fontId="6" fillId="8" borderId="9" xfId="2" applyNumberFormat="1" applyFont="1" applyFill="1" applyBorder="1"/>
    <xf numFmtId="0" fontId="7" fillId="8" borderId="9" xfId="0" applyNumberFormat="1" applyFont="1" applyFill="1" applyBorder="1" applyAlignment="1"/>
    <xf numFmtId="0" fontId="24" fillId="6" borderId="34" xfId="0" applyFont="1" applyFill="1" applyBorder="1" applyAlignment="1">
      <alignment horizontal="center"/>
    </xf>
    <xf numFmtId="0" fontId="4" fillId="8" borderId="0" xfId="0" applyNumberFormat="1" applyFont="1" applyFill="1" applyBorder="1" applyAlignment="1">
      <alignment horizontal="right"/>
    </xf>
    <xf numFmtId="0" fontId="17" fillId="8" borderId="0" xfId="3" applyNumberFormat="1" applyFill="1" applyAlignment="1" applyProtection="1"/>
    <xf numFmtId="168" fontId="7" fillId="8" borderId="0" xfId="2" applyNumberFormat="1" applyFont="1" applyFill="1"/>
    <xf numFmtId="9" fontId="24" fillId="6" borderId="46" xfId="2" applyFont="1" applyFill="1" applyBorder="1" applyAlignment="1">
      <alignment horizontal="center"/>
    </xf>
    <xf numFmtId="0" fontId="7" fillId="0" borderId="9" xfId="0" applyNumberFormat="1" applyFont="1" applyFill="1" applyBorder="1" applyAlignment="1">
      <alignment wrapText="1"/>
    </xf>
    <xf numFmtId="0" fontId="7" fillId="0" borderId="9" xfId="0" applyNumberFormat="1" applyFont="1" applyFill="1" applyBorder="1" applyAlignment="1">
      <alignment horizontal="right"/>
    </xf>
    <xf numFmtId="0" fontId="6" fillId="0" borderId="9" xfId="0" applyNumberFormat="1" applyFont="1" applyFill="1" applyBorder="1" applyAlignment="1">
      <alignment wrapText="1"/>
    </xf>
    <xf numFmtId="6" fontId="6" fillId="8" borderId="0" xfId="2" applyNumberFormat="1" applyFont="1" applyFill="1"/>
    <xf numFmtId="0" fontId="6" fillId="0" borderId="39" xfId="0" applyFont="1" applyFill="1" applyBorder="1" applyAlignment="1">
      <alignment horizontal="center"/>
    </xf>
    <xf numFmtId="0" fontId="22" fillId="0" borderId="57" xfId="0" applyFont="1" applyFill="1" applyBorder="1" applyAlignment="1">
      <alignment horizontal="center"/>
    </xf>
    <xf numFmtId="0" fontId="6" fillId="0" borderId="43" xfId="0" applyFont="1" applyFill="1" applyBorder="1" applyAlignment="1">
      <alignment horizontal="left" indent="1"/>
    </xf>
    <xf numFmtId="164" fontId="24" fillId="0" borderId="67" xfId="2" applyNumberFormat="1" applyFont="1" applyFill="1" applyBorder="1" applyAlignment="1">
      <alignment horizontal="center"/>
    </xf>
    <xf numFmtId="164" fontId="3" fillId="0" borderId="67" xfId="2" applyNumberFormat="1" applyFont="1" applyFill="1" applyBorder="1" applyAlignment="1">
      <alignment horizontal="center"/>
    </xf>
    <xf numFmtId="0" fontId="75" fillId="0" borderId="41" xfId="3" applyFont="1" applyFill="1" applyBorder="1" applyAlignment="1" applyProtection="1"/>
    <xf numFmtId="0" fontId="3" fillId="0" borderId="68" xfId="0" applyFont="1" applyFill="1" applyBorder="1"/>
    <xf numFmtId="0" fontId="3" fillId="0" borderId="66" xfId="0" applyFont="1" applyFill="1" applyBorder="1"/>
    <xf numFmtId="0" fontId="3" fillId="0" borderId="54" xfId="0" applyFont="1" applyFill="1" applyBorder="1"/>
    <xf numFmtId="9" fontId="4" fillId="2" borderId="4" xfId="2" applyFont="1" applyFill="1" applyBorder="1" applyAlignment="1">
      <alignment horizontal="center"/>
    </xf>
    <xf numFmtId="9" fontId="4" fillId="2" borderId="60" xfId="2" applyFont="1" applyFill="1" applyBorder="1" applyAlignment="1">
      <alignment horizontal="center"/>
    </xf>
    <xf numFmtId="9" fontId="4" fillId="2" borderId="28" xfId="2" applyFont="1" applyFill="1" applyBorder="1" applyAlignment="1">
      <alignment horizontal="center"/>
    </xf>
    <xf numFmtId="0" fontId="86" fillId="8" borderId="0" xfId="3" applyFont="1" applyFill="1" applyBorder="1" applyAlignment="1" applyProtection="1">
      <alignment vertical="center" wrapText="1"/>
    </xf>
    <xf numFmtId="0" fontId="88" fillId="8" borderId="0" xfId="0" applyFont="1" applyFill="1" applyBorder="1" applyAlignment="1">
      <alignment wrapText="1"/>
    </xf>
    <xf numFmtId="0" fontId="69" fillId="5" borderId="43" xfId="0" applyFont="1" applyFill="1" applyBorder="1" applyAlignment="1">
      <alignment horizontal="left" indent="1"/>
    </xf>
    <xf numFmtId="168" fontId="6" fillId="8" borderId="9" xfId="0" applyNumberFormat="1" applyFont="1" applyFill="1" applyBorder="1" applyAlignment="1">
      <alignment horizontal="center"/>
    </xf>
    <xf numFmtId="3" fontId="6" fillId="14" borderId="55" xfId="0" applyNumberFormat="1" applyFont="1" applyFill="1" applyBorder="1" applyAlignment="1">
      <alignment horizontal="left"/>
    </xf>
    <xf numFmtId="3" fontId="4" fillId="14" borderId="5" xfId="0" applyNumberFormat="1" applyFont="1" applyFill="1" applyBorder="1" applyAlignment="1">
      <alignment horizontal="center"/>
    </xf>
    <xf numFmtId="0" fontId="4" fillId="0" borderId="5" xfId="0" applyFont="1" applyFill="1" applyBorder="1" applyAlignment="1">
      <alignment horizontal="center"/>
    </xf>
    <xf numFmtId="0" fontId="24" fillId="0" borderId="44" xfId="0" applyFont="1" applyFill="1" applyBorder="1" applyAlignment="1">
      <alignment horizontal="right"/>
    </xf>
    <xf numFmtId="0" fontId="45" fillId="8" borderId="8" xfId="0" applyFont="1" applyFill="1" applyBorder="1" applyAlignment="1">
      <alignment horizontal="left" vertical="center" wrapText="1"/>
    </xf>
    <xf numFmtId="0" fontId="89" fillId="0" borderId="49" xfId="3" applyFont="1" applyBorder="1" applyAlignment="1" applyProtection="1"/>
    <xf numFmtId="0" fontId="49" fillId="0" borderId="4" xfId="0" applyFont="1" applyBorder="1" applyAlignment="1">
      <alignment vertical="top"/>
    </xf>
    <xf numFmtId="0" fontId="90" fillId="8" borderId="0" xfId="0" applyNumberFormat="1" applyFont="1" applyFill="1" applyBorder="1" applyAlignment="1">
      <alignment horizontal="center"/>
    </xf>
    <xf numFmtId="0" fontId="29" fillId="8" borderId="23" xfId="0" applyFont="1" applyFill="1" applyBorder="1" applyAlignment="1">
      <alignment vertical="center" wrapText="1"/>
    </xf>
    <xf numFmtId="0" fontId="45" fillId="8" borderId="10" xfId="0" applyFont="1" applyFill="1" applyBorder="1" applyAlignment="1">
      <alignment vertical="center" wrapText="1"/>
    </xf>
    <xf numFmtId="0" fontId="3" fillId="0" borderId="23" xfId="0" applyFont="1" applyFill="1" applyBorder="1"/>
    <xf numFmtId="6" fontId="6" fillId="0" borderId="63" xfId="0" applyNumberFormat="1" applyFont="1" applyFill="1" applyBorder="1" applyAlignment="1">
      <alignment horizontal="right"/>
    </xf>
    <xf numFmtId="0" fontId="6" fillId="0" borderId="41" xfId="0" applyFont="1" applyBorder="1" applyAlignment="1">
      <alignment vertical="center"/>
    </xf>
    <xf numFmtId="0" fontId="49" fillId="0" borderId="0" xfId="0" applyFont="1" applyBorder="1" applyAlignment="1">
      <alignment horizontal="center"/>
    </xf>
    <xf numFmtId="40" fontId="4" fillId="0" borderId="0" xfId="0" applyNumberFormat="1" applyFont="1" applyAlignment="1">
      <alignment horizontal="center"/>
    </xf>
    <xf numFmtId="0" fontId="55" fillId="0" borderId="0" xfId="0" applyFont="1" applyBorder="1" applyAlignment="1">
      <alignment horizontal="right"/>
    </xf>
    <xf numFmtId="3" fontId="49" fillId="0" borderId="21" xfId="0" applyNumberFormat="1" applyFont="1" applyBorder="1" applyAlignment="1">
      <alignment horizontal="center"/>
    </xf>
    <xf numFmtId="9" fontId="49" fillId="0" borderId="21" xfId="2" applyFont="1" applyBorder="1" applyAlignment="1">
      <alignment horizontal="center"/>
    </xf>
    <xf numFmtId="40" fontId="49" fillId="0" borderId="21" xfId="0" applyNumberFormat="1" applyFont="1" applyBorder="1" applyAlignment="1">
      <alignment horizontal="center"/>
    </xf>
    <xf numFmtId="0" fontId="49" fillId="0" borderId="15" xfId="0" applyFont="1" applyBorder="1" applyAlignment="1">
      <alignment horizontal="center"/>
    </xf>
    <xf numFmtId="0" fontId="59" fillId="0" borderId="0" xfId="0" applyFont="1" applyFill="1" applyBorder="1" applyAlignment="1">
      <alignment horizontal="center"/>
    </xf>
    <xf numFmtId="0" fontId="3" fillId="0" borderId="59" xfId="0" applyFont="1" applyFill="1" applyBorder="1"/>
    <xf numFmtId="6" fontId="24" fillId="0" borderId="61" xfId="0" applyNumberFormat="1" applyFont="1" applyFill="1" applyBorder="1" applyAlignment="1">
      <alignment horizontal="right"/>
    </xf>
    <xf numFmtId="0" fontId="24" fillId="6" borderId="61" xfId="0" applyFont="1" applyFill="1" applyBorder="1" applyAlignment="1">
      <alignment horizontal="center"/>
    </xf>
    <xf numFmtId="9" fontId="24" fillId="6" borderId="32" xfId="2" applyFont="1" applyFill="1" applyBorder="1" applyAlignment="1">
      <alignment horizontal="center"/>
    </xf>
    <xf numFmtId="0" fontId="93" fillId="0" borderId="0" xfId="0" applyFont="1" applyBorder="1" applyAlignment="1">
      <alignment horizontal="center" vertical="center"/>
    </xf>
    <xf numFmtId="2" fontId="50" fillId="0" borderId="17" xfId="0" applyNumberFormat="1" applyFont="1" applyFill="1" applyBorder="1" applyAlignment="1">
      <alignment horizontal="center" vertical="center"/>
    </xf>
    <xf numFmtId="0" fontId="50" fillId="0" borderId="17" xfId="0" applyFont="1" applyBorder="1" applyAlignment="1">
      <alignment horizontal="center" vertical="center"/>
    </xf>
    <xf numFmtId="0" fontId="94" fillId="0" borderId="17" xfId="0" applyFont="1" applyFill="1" applyBorder="1" applyAlignment="1">
      <alignment horizontal="center" vertical="center"/>
    </xf>
    <xf numFmtId="0" fontId="94" fillId="0" borderId="0" xfId="0" applyFont="1" applyAlignment="1">
      <alignment horizontal="center" vertical="center"/>
    </xf>
    <xf numFmtId="0" fontId="50" fillId="0" borderId="12" xfId="0" applyFont="1" applyBorder="1" applyAlignment="1">
      <alignment horizontal="center" vertical="center"/>
    </xf>
    <xf numFmtId="0" fontId="93" fillId="0" borderId="14" xfId="0" applyFont="1" applyBorder="1" applyAlignment="1">
      <alignment horizontal="center" vertical="center"/>
    </xf>
    <xf numFmtId="2" fontId="50" fillId="0" borderId="4" xfId="0" applyNumberFormat="1" applyFont="1" applyFill="1" applyBorder="1" applyAlignment="1">
      <alignment horizontal="center" vertical="center"/>
    </xf>
    <xf numFmtId="0" fontId="94" fillId="0" borderId="0" xfId="0" applyFont="1" applyFill="1" applyBorder="1" applyAlignment="1">
      <alignment horizontal="center" vertical="center"/>
    </xf>
    <xf numFmtId="0" fontId="21" fillId="0" borderId="4" xfId="3" applyFont="1" applyBorder="1" applyAlignment="1" applyProtection="1">
      <alignment horizontal="center"/>
    </xf>
    <xf numFmtId="6" fontId="3" fillId="0" borderId="32" xfId="0" applyNumberFormat="1" applyFont="1" applyFill="1" applyBorder="1" applyAlignment="1">
      <alignment horizontal="right" vertical="center"/>
    </xf>
    <xf numFmtId="0" fontId="75" fillId="0" borderId="43" xfId="3" applyFont="1" applyBorder="1" applyAlignment="1" applyProtection="1"/>
    <xf numFmtId="0" fontId="75" fillId="0" borderId="32" xfId="3" applyFont="1" applyBorder="1" applyAlignment="1" applyProtection="1"/>
    <xf numFmtId="0" fontId="3" fillId="0" borderId="43" xfId="3" applyFont="1" applyBorder="1" applyAlignment="1" applyProtection="1"/>
    <xf numFmtId="168" fontId="3" fillId="0" borderId="32" xfId="3" applyNumberFormat="1" applyFont="1" applyBorder="1" applyAlignment="1" applyProtection="1"/>
    <xf numFmtId="0" fontId="75" fillId="5" borderId="43" xfId="3" applyFont="1" applyFill="1" applyBorder="1" applyAlignment="1" applyProtection="1"/>
    <xf numFmtId="0" fontId="6" fillId="0" borderId="32" xfId="0" applyFont="1" applyFill="1" applyBorder="1"/>
    <xf numFmtId="6" fontId="24" fillId="0" borderId="52" xfId="0" applyNumberFormat="1" applyFont="1" applyFill="1" applyBorder="1" applyAlignment="1">
      <alignment horizontal="right"/>
    </xf>
    <xf numFmtId="3" fontId="3" fillId="5" borderId="59" xfId="0" applyNumberFormat="1" applyFont="1" applyFill="1" applyBorder="1" applyAlignment="1">
      <alignment horizontal="left"/>
    </xf>
    <xf numFmtId="0" fontId="21" fillId="5" borderId="60" xfId="0" applyNumberFormat="1" applyFont="1" applyFill="1" applyBorder="1" applyAlignment="1">
      <alignment horizontal="center"/>
    </xf>
    <xf numFmtId="166" fontId="21" fillId="5" borderId="61" xfId="0" applyNumberFormat="1" applyFont="1" applyFill="1" applyBorder="1" applyAlignment="1">
      <alignment horizontal="center"/>
    </xf>
    <xf numFmtId="176" fontId="24" fillId="0" borderId="44" xfId="0" applyNumberFormat="1" applyFont="1" applyFill="1" applyBorder="1" applyAlignment="1">
      <alignment horizontal="right"/>
    </xf>
    <xf numFmtId="168" fontId="15" fillId="0" borderId="32" xfId="3" applyNumberFormat="1" applyFont="1" applyBorder="1" applyAlignment="1" applyProtection="1">
      <alignment horizontal="center"/>
    </xf>
    <xf numFmtId="3" fontId="6" fillId="0" borderId="4" xfId="0" applyNumberFormat="1" applyFont="1" applyFill="1" applyBorder="1" applyAlignment="1">
      <alignment vertical="center"/>
    </xf>
    <xf numFmtId="3" fontId="6" fillId="0" borderId="28" xfId="0" applyNumberFormat="1" applyFont="1" applyFill="1" applyBorder="1" applyAlignment="1">
      <alignment vertical="center"/>
    </xf>
    <xf numFmtId="168" fontId="3" fillId="0" borderId="32" xfId="1" applyNumberFormat="1" applyFont="1" applyFill="1" applyBorder="1" applyAlignment="1">
      <alignment horizontal="right"/>
    </xf>
    <xf numFmtId="0" fontId="16" fillId="5" borderId="43" xfId="0" applyFont="1" applyFill="1" applyBorder="1" applyAlignment="1">
      <alignment horizontal="left"/>
    </xf>
    <xf numFmtId="3" fontId="4" fillId="14" borderId="4" xfId="0" applyNumberFormat="1" applyFont="1" applyFill="1" applyBorder="1" applyAlignment="1">
      <alignment horizontal="center"/>
    </xf>
    <xf numFmtId="165" fontId="6" fillId="0" borderId="0" xfId="1" applyNumberFormat="1" applyFont="1" applyFill="1" applyBorder="1"/>
    <xf numFmtId="0" fontId="15" fillId="0" borderId="6" xfId="0" applyFont="1" applyFill="1" applyBorder="1" applyAlignment="1">
      <alignment horizontal="center"/>
    </xf>
    <xf numFmtId="0" fontId="15" fillId="0" borderId="11" xfId="0" applyFont="1" applyFill="1" applyBorder="1" applyAlignment="1">
      <alignment horizontal="center"/>
    </xf>
    <xf numFmtId="3" fontId="4" fillId="14" borderId="21" xfId="0" applyNumberFormat="1" applyFont="1" applyFill="1" applyBorder="1" applyAlignment="1">
      <alignment horizontal="center"/>
    </xf>
    <xf numFmtId="0" fontId="6" fillId="0" borderId="43" xfId="3" applyFont="1" applyBorder="1" applyAlignment="1" applyProtection="1"/>
    <xf numFmtId="0" fontId="4" fillId="0" borderId="4" xfId="3" applyFont="1" applyBorder="1" applyAlignment="1" applyProtection="1">
      <alignment horizontal="center"/>
    </xf>
    <xf numFmtId="168" fontId="6" fillId="0" borderId="32" xfId="3" applyNumberFormat="1" applyFont="1" applyBorder="1" applyAlignment="1" applyProtection="1"/>
    <xf numFmtId="173" fontId="96" fillId="14" borderId="44" xfId="5" applyNumberFormat="1" applyFont="1" applyFill="1" applyBorder="1" applyAlignment="1">
      <alignment horizontal="right"/>
    </xf>
    <xf numFmtId="168" fontId="6" fillId="0" borderId="45" xfId="1" applyNumberFormat="1" applyFont="1" applyFill="1" applyBorder="1" applyAlignment="1">
      <alignment horizontal="right"/>
    </xf>
    <xf numFmtId="0" fontId="4" fillId="0" borderId="56" xfId="0" applyNumberFormat="1" applyFont="1" applyFill="1" applyBorder="1" applyAlignment="1">
      <alignment horizontal="center"/>
    </xf>
    <xf numFmtId="0" fontId="21" fillId="0" borderId="4" xfId="0" applyNumberFormat="1" applyFont="1" applyFill="1" applyBorder="1" applyAlignment="1">
      <alignment horizontal="center"/>
    </xf>
    <xf numFmtId="9" fontId="24" fillId="0" borderId="40" xfId="2" applyNumberFormat="1" applyFont="1" applyFill="1" applyBorder="1" applyAlignment="1">
      <alignment horizontal="center" vertical="center"/>
    </xf>
    <xf numFmtId="9" fontId="6" fillId="2" borderId="4" xfId="2" applyFont="1" applyFill="1" applyBorder="1" applyAlignment="1">
      <alignment horizontal="center" vertical="center"/>
    </xf>
    <xf numFmtId="9" fontId="24" fillId="0" borderId="32" xfId="0" applyNumberFormat="1" applyFont="1" applyFill="1" applyBorder="1"/>
    <xf numFmtId="9" fontId="6" fillId="0" borderId="32" xfId="0" applyNumberFormat="1" applyFont="1" applyFill="1" applyBorder="1"/>
    <xf numFmtId="10" fontId="6" fillId="0" borderId="32" xfId="2" applyNumberFormat="1" applyFont="1" applyFill="1" applyBorder="1"/>
    <xf numFmtId="168" fontId="3" fillId="0" borderId="42" xfId="0" applyNumberFormat="1" applyFont="1" applyFill="1" applyBorder="1"/>
    <xf numFmtId="0" fontId="6" fillId="0" borderId="51" xfId="0" applyFont="1" applyFill="1" applyBorder="1"/>
    <xf numFmtId="0" fontId="3" fillId="0" borderId="43" xfId="0" applyFont="1" applyFill="1" applyBorder="1"/>
    <xf numFmtId="0" fontId="6" fillId="0" borderId="39" xfId="0" applyFont="1" applyFill="1" applyBorder="1" applyAlignment="1">
      <alignment vertical="center"/>
    </xf>
    <xf numFmtId="3" fontId="3" fillId="5" borderId="23" xfId="0" applyNumberFormat="1" applyFont="1" applyFill="1" applyBorder="1" applyAlignment="1">
      <alignment horizontal="left"/>
    </xf>
    <xf numFmtId="3" fontId="4" fillId="5" borderId="10" xfId="0" applyNumberFormat="1" applyFont="1" applyFill="1" applyBorder="1" applyAlignment="1">
      <alignment horizontal="center"/>
    </xf>
    <xf numFmtId="164" fontId="5" fillId="5" borderId="24" xfId="2" applyNumberFormat="1" applyFont="1" applyFill="1" applyBorder="1" applyAlignment="1">
      <alignment horizontal="center"/>
    </xf>
    <xf numFmtId="9" fontId="24" fillId="6" borderId="44" xfId="2" applyNumberFormat="1" applyFont="1" applyFill="1" applyBorder="1" applyAlignment="1">
      <alignment horizontal="center" vertical="center"/>
    </xf>
    <xf numFmtId="0" fontId="4" fillId="0" borderId="0" xfId="0" applyFont="1" applyFill="1" applyBorder="1"/>
    <xf numFmtId="0" fontId="97" fillId="0" borderId="10" xfId="0" applyFont="1" applyFill="1" applyBorder="1" applyAlignment="1">
      <alignment horizontal="center"/>
    </xf>
    <xf numFmtId="0" fontId="21" fillId="0" borderId="0" xfId="0" applyFont="1" applyFill="1" applyBorder="1" applyAlignment="1">
      <alignment horizontal="center"/>
    </xf>
    <xf numFmtId="0" fontId="4" fillId="0" borderId="46" xfId="0" applyFont="1" applyBorder="1" applyAlignment="1"/>
    <xf numFmtId="0" fontId="4" fillId="0" borderId="14" xfId="0" applyFont="1" applyBorder="1" applyAlignment="1">
      <alignment horizontal="left"/>
    </xf>
    <xf numFmtId="2" fontId="72" fillId="14" borderId="5" xfId="0" applyNumberFormat="1" applyFont="1" applyFill="1" applyBorder="1" applyAlignment="1">
      <alignment horizontal="center"/>
    </xf>
    <xf numFmtId="2" fontId="72" fillId="14" borderId="4" xfId="0" applyNumberFormat="1" applyFont="1" applyFill="1" applyBorder="1" applyAlignment="1">
      <alignment horizontal="center"/>
    </xf>
    <xf numFmtId="2" fontId="21" fillId="14" borderId="46" xfId="0" applyNumberFormat="1" applyFont="1" applyFill="1" applyBorder="1" applyAlignment="1">
      <alignment horizontal="center"/>
    </xf>
    <xf numFmtId="2" fontId="4" fillId="14" borderId="5" xfId="0" applyNumberFormat="1" applyFont="1" applyFill="1" applyBorder="1" applyAlignment="1">
      <alignment horizontal="center"/>
    </xf>
    <xf numFmtId="2" fontId="4" fillId="14" borderId="56" xfId="0" applyNumberFormat="1" applyFont="1" applyFill="1" applyBorder="1" applyAlignment="1">
      <alignment horizontal="center"/>
    </xf>
    <xf numFmtId="0" fontId="98" fillId="0" borderId="4" xfId="3" applyFont="1" applyBorder="1" applyAlignment="1" applyProtection="1"/>
    <xf numFmtId="2" fontId="72" fillId="14" borderId="56" xfId="0" applyNumberFormat="1" applyFont="1" applyFill="1" applyBorder="1" applyAlignment="1">
      <alignment horizontal="center"/>
    </xf>
    <xf numFmtId="0" fontId="21" fillId="0" borderId="13" xfId="0" applyFont="1" applyFill="1" applyBorder="1"/>
    <xf numFmtId="2" fontId="4" fillId="14" borderId="4" xfId="0" applyNumberFormat="1" applyFont="1" applyFill="1" applyBorder="1" applyAlignment="1">
      <alignment horizontal="center"/>
    </xf>
    <xf numFmtId="0" fontId="4" fillId="0" borderId="4" xfId="0" applyFont="1" applyFill="1" applyBorder="1"/>
    <xf numFmtId="0" fontId="4" fillId="0" borderId="0" xfId="0" applyFont="1" applyBorder="1"/>
    <xf numFmtId="0" fontId="4" fillId="0" borderId="37" xfId="0" applyFont="1" applyFill="1" applyBorder="1"/>
    <xf numFmtId="0" fontId="4" fillId="5" borderId="2" xfId="0" applyFont="1" applyFill="1" applyBorder="1"/>
    <xf numFmtId="0" fontId="4" fillId="0" borderId="29" xfId="0" applyFont="1" applyBorder="1"/>
    <xf numFmtId="0" fontId="4" fillId="0" borderId="58" xfId="0" applyFont="1" applyFill="1" applyBorder="1"/>
    <xf numFmtId="0" fontId="4" fillId="0" borderId="34" xfId="0" applyFont="1" applyFill="1" applyBorder="1"/>
    <xf numFmtId="0" fontId="4" fillId="0" borderId="22" xfId="0" applyFont="1" applyFill="1" applyBorder="1"/>
    <xf numFmtId="0" fontId="4" fillId="4" borderId="10" xfId="0" applyFont="1" applyFill="1" applyBorder="1"/>
    <xf numFmtId="0" fontId="4" fillId="4" borderId="0" xfId="0" applyFont="1" applyFill="1" applyBorder="1"/>
    <xf numFmtId="0" fontId="4" fillId="4" borderId="22" xfId="0" applyFont="1" applyFill="1" applyBorder="1"/>
    <xf numFmtId="0" fontId="4" fillId="14" borderId="0" xfId="0" applyFont="1" applyFill="1" applyBorder="1"/>
    <xf numFmtId="0" fontId="70" fillId="5" borderId="46" xfId="0" applyFont="1" applyFill="1" applyBorder="1"/>
    <xf numFmtId="0" fontId="4" fillId="5" borderId="53" xfId="0" applyFont="1" applyFill="1" applyBorder="1"/>
    <xf numFmtId="2" fontId="4" fillId="14" borderId="46" xfId="0" applyNumberFormat="1" applyFont="1" applyFill="1" applyBorder="1" applyAlignment="1">
      <alignment horizontal="center"/>
    </xf>
    <xf numFmtId="0" fontId="4" fillId="5" borderId="10" xfId="0" applyFont="1" applyFill="1" applyBorder="1"/>
    <xf numFmtId="0" fontId="21" fillId="0" borderId="37" xfId="0" applyFont="1" applyFill="1" applyBorder="1" applyAlignment="1">
      <alignment horizontal="center"/>
    </xf>
    <xf numFmtId="0" fontId="21" fillId="0" borderId="14" xfId="0" applyFont="1" applyFill="1" applyBorder="1" applyAlignment="1">
      <alignment horizontal="center"/>
    </xf>
    <xf numFmtId="0" fontId="4" fillId="0" borderId="69" xfId="0" applyFont="1" applyFill="1" applyBorder="1"/>
    <xf numFmtId="0" fontId="4" fillId="0" borderId="46" xfId="0" applyFont="1" applyFill="1" applyBorder="1"/>
    <xf numFmtId="9" fontId="42" fillId="6" borderId="40" xfId="2" applyFont="1" applyFill="1" applyBorder="1" applyAlignment="1">
      <alignment horizontal="center"/>
    </xf>
    <xf numFmtId="9" fontId="42" fillId="0" borderId="42" xfId="0" applyNumberFormat="1" applyFont="1" applyFill="1" applyBorder="1" applyAlignment="1">
      <alignment horizontal="right"/>
    </xf>
    <xf numFmtId="0" fontId="36" fillId="0" borderId="46" xfId="0" applyFont="1" applyFill="1" applyBorder="1" applyAlignment="1">
      <alignment horizontal="center"/>
    </xf>
    <xf numFmtId="164" fontId="42" fillId="0" borderId="4" xfId="2" applyNumberFormat="1" applyFont="1" applyFill="1" applyBorder="1" applyAlignment="1">
      <alignment horizontal="center"/>
    </xf>
    <xf numFmtId="164" fontId="21" fillId="0" borderId="12" xfId="2" applyNumberFormat="1" applyFont="1" applyFill="1" applyBorder="1" applyAlignment="1">
      <alignment horizontal="center"/>
    </xf>
    <xf numFmtId="164" fontId="42" fillId="0" borderId="12" xfId="2" applyNumberFormat="1" applyFont="1" applyFill="1" applyBorder="1" applyAlignment="1">
      <alignment horizontal="center"/>
    </xf>
    <xf numFmtId="0" fontId="21" fillId="0" borderId="34" xfId="0" applyFont="1" applyFill="1" applyBorder="1"/>
    <xf numFmtId="9" fontId="99" fillId="0" borderId="46" xfId="0" applyNumberFormat="1" applyFont="1" applyFill="1" applyBorder="1" applyAlignment="1">
      <alignment horizontal="center"/>
    </xf>
    <xf numFmtId="9" fontId="99" fillId="0" borderId="34" xfId="0" applyNumberFormat="1" applyFont="1" applyFill="1" applyBorder="1" applyAlignment="1">
      <alignment horizontal="center"/>
    </xf>
    <xf numFmtId="0" fontId="3" fillId="0" borderId="41" xfId="0" applyNumberFormat="1" applyFont="1" applyFill="1" applyBorder="1" applyAlignment="1"/>
    <xf numFmtId="168" fontId="4" fillId="0" borderId="46" xfId="0" applyNumberFormat="1" applyFont="1" applyFill="1" applyBorder="1" applyAlignment="1">
      <alignment horizontal="center" vertical="center"/>
    </xf>
    <xf numFmtId="168" fontId="4" fillId="0" borderId="46" xfId="0" applyNumberFormat="1" applyFont="1" applyFill="1" applyBorder="1" applyAlignment="1">
      <alignment horizontal="center" vertical="center" wrapText="1"/>
    </xf>
    <xf numFmtId="0" fontId="4" fillId="0" borderId="46" xfId="0" applyNumberFormat="1" applyFont="1" applyFill="1" applyBorder="1" applyAlignment="1">
      <alignment horizontal="right" vertical="center" wrapText="1"/>
    </xf>
    <xf numFmtId="0" fontId="3" fillId="0" borderId="43" xfId="0" applyFont="1" applyFill="1" applyBorder="1" applyAlignment="1">
      <alignment horizontal="left" indent="2"/>
    </xf>
    <xf numFmtId="0" fontId="3" fillId="0" borderId="0" xfId="0" applyFont="1" applyFill="1" applyBorder="1"/>
    <xf numFmtId="168" fontId="3" fillId="0" borderId="0" xfId="0" applyNumberFormat="1" applyFont="1" applyFill="1" applyBorder="1"/>
    <xf numFmtId="0" fontId="3" fillId="0" borderId="26" xfId="0" applyFont="1" applyFill="1" applyBorder="1" applyAlignment="1">
      <alignment horizontal="center"/>
    </xf>
    <xf numFmtId="0" fontId="15" fillId="0" borderId="34" xfId="0" applyFont="1" applyFill="1" applyBorder="1" applyAlignment="1">
      <alignment horizontal="center"/>
    </xf>
    <xf numFmtId="2" fontId="72" fillId="0" borderId="0" xfId="0" applyNumberFormat="1" applyFont="1" applyFill="1" applyBorder="1" applyAlignment="1">
      <alignment horizontal="center"/>
    </xf>
    <xf numFmtId="173" fontId="6" fillId="0" borderId="32" xfId="0" applyNumberFormat="1" applyFont="1" applyFill="1" applyBorder="1"/>
    <xf numFmtId="168" fontId="3" fillId="0" borderId="32" xfId="0" applyNumberFormat="1" applyFont="1" applyFill="1" applyBorder="1"/>
    <xf numFmtId="2" fontId="72" fillId="14" borderId="34" xfId="0" applyNumberFormat="1" applyFont="1" applyFill="1" applyBorder="1" applyAlignment="1">
      <alignment horizontal="center"/>
    </xf>
    <xf numFmtId="168" fontId="44" fillId="14" borderId="45" xfId="5" applyNumberFormat="1" applyFont="1" applyFill="1" applyBorder="1" applyAlignment="1">
      <alignment horizontal="right"/>
    </xf>
    <xf numFmtId="10" fontId="6" fillId="0" borderId="52" xfId="2" applyNumberFormat="1" applyFont="1" applyFill="1" applyBorder="1"/>
    <xf numFmtId="0" fontId="3" fillId="0" borderId="50" xfId="0" applyFont="1" applyFill="1" applyBorder="1"/>
    <xf numFmtId="0" fontId="3" fillId="0" borderId="67" xfId="0" applyFont="1" applyFill="1" applyBorder="1"/>
    <xf numFmtId="10" fontId="15" fillId="0" borderId="4" xfId="2" applyNumberFormat="1" applyFont="1" applyFill="1" applyBorder="1" applyAlignment="1">
      <alignment horizontal="center"/>
    </xf>
    <xf numFmtId="164" fontId="82" fillId="0" borderId="6" xfId="2" applyNumberFormat="1" applyFont="1" applyFill="1" applyBorder="1" applyAlignment="1">
      <alignment horizontal="center" vertical="center" wrapText="1"/>
    </xf>
    <xf numFmtId="0" fontId="3" fillId="0" borderId="68" xfId="0" applyFont="1" applyFill="1" applyBorder="1" applyAlignment="1">
      <alignment horizontal="center"/>
    </xf>
    <xf numFmtId="164" fontId="24" fillId="0" borderId="12" xfId="2" applyNumberFormat="1" applyFont="1" applyFill="1" applyBorder="1" applyAlignment="1">
      <alignment horizontal="center"/>
    </xf>
    <xf numFmtId="0" fontId="22" fillId="0" borderId="36" xfId="0" applyFont="1" applyFill="1" applyBorder="1" applyAlignment="1">
      <alignment horizontal="center"/>
    </xf>
    <xf numFmtId="164" fontId="3" fillId="0" borderId="12" xfId="2" applyNumberFormat="1" applyFont="1" applyFill="1" applyBorder="1" applyAlignment="1">
      <alignment horizontal="center"/>
    </xf>
    <xf numFmtId="0" fontId="64" fillId="5" borderId="8" xfId="0" applyFont="1" applyFill="1" applyBorder="1" applyAlignment="1">
      <alignment vertical="center"/>
    </xf>
    <xf numFmtId="0" fontId="64" fillId="5" borderId="0" xfId="0" applyFont="1" applyFill="1" applyBorder="1" applyAlignment="1">
      <alignment vertical="center" wrapText="1"/>
    </xf>
    <xf numFmtId="0" fontId="6" fillId="0" borderId="11" xfId="0" applyFont="1" applyFill="1" applyBorder="1"/>
    <xf numFmtId="0" fontId="6" fillId="0" borderId="9" xfId="0" applyFont="1" applyFill="1" applyBorder="1"/>
    <xf numFmtId="0" fontId="8" fillId="5" borderId="10" xfId="0" applyFont="1" applyFill="1" applyBorder="1" applyAlignment="1">
      <alignment horizontal="center" vertical="center"/>
    </xf>
    <xf numFmtId="0" fontId="8" fillId="5" borderId="2" xfId="0" applyFont="1" applyFill="1" applyBorder="1" applyAlignment="1">
      <alignment horizontal="center" vertical="center"/>
    </xf>
    <xf numFmtId="0" fontId="66" fillId="0" borderId="0" xfId="0" applyFont="1" applyFill="1" applyBorder="1" applyAlignment="1">
      <alignment horizontal="center"/>
    </xf>
    <xf numFmtId="164" fontId="24" fillId="0" borderId="12" xfId="2" applyNumberFormat="1" applyFont="1" applyFill="1" applyBorder="1" applyAlignment="1">
      <alignment horizontal="center"/>
    </xf>
    <xf numFmtId="164" fontId="24" fillId="0" borderId="13" xfId="2" applyNumberFormat="1" applyFont="1" applyFill="1" applyBorder="1" applyAlignment="1">
      <alignment horizontal="center"/>
    </xf>
    <xf numFmtId="164" fontId="24" fillId="0" borderId="14" xfId="2" applyNumberFormat="1" applyFont="1" applyFill="1" applyBorder="1" applyAlignment="1">
      <alignment horizontal="center"/>
    </xf>
    <xf numFmtId="0" fontId="3" fillId="0" borderId="68" xfId="0" applyFont="1" applyFill="1" applyBorder="1" applyAlignment="1">
      <alignment horizontal="center"/>
    </xf>
    <xf numFmtId="0" fontId="3" fillId="0" borderId="53" xfId="0" applyFont="1" applyFill="1" applyBorder="1" applyAlignment="1">
      <alignment horizontal="center"/>
    </xf>
    <xf numFmtId="0" fontId="3" fillId="0" borderId="58"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2" fillId="0" borderId="38" xfId="0" applyFont="1" applyFill="1" applyBorder="1" applyAlignment="1">
      <alignment horizontal="center"/>
    </xf>
    <xf numFmtId="164" fontId="3" fillId="0" borderId="12" xfId="2" applyNumberFormat="1" applyFont="1" applyFill="1" applyBorder="1" applyAlignment="1">
      <alignment horizontal="center"/>
    </xf>
    <xf numFmtId="164" fontId="3" fillId="0" borderId="13" xfId="2" applyNumberFormat="1" applyFont="1" applyFill="1" applyBorder="1" applyAlignment="1">
      <alignment horizontal="center"/>
    </xf>
    <xf numFmtId="164" fontId="3" fillId="0" borderId="14" xfId="2" applyNumberFormat="1" applyFont="1" applyFill="1" applyBorder="1" applyAlignment="1">
      <alignment horizontal="center"/>
    </xf>
    <xf numFmtId="0" fontId="49" fillId="0" borderId="0" xfId="0" applyFont="1" applyBorder="1" applyAlignment="1">
      <alignment horizontal="center" vertical="center"/>
    </xf>
    <xf numFmtId="0" fontId="49" fillId="0" borderId="0" xfId="0" applyFont="1" applyBorder="1" applyAlignment="1">
      <alignment horizont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6" fillId="6" borderId="1"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67" fillId="0" borderId="19"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2" xfId="0" applyFont="1" applyBorder="1" applyAlignment="1">
      <alignment horizontal="center"/>
    </xf>
    <xf numFmtId="0" fontId="67" fillId="0" borderId="14" xfId="0" applyFont="1" applyBorder="1" applyAlignment="1">
      <alignment horizontal="center"/>
    </xf>
    <xf numFmtId="0" fontId="3" fillId="8" borderId="0" xfId="0" applyNumberFormat="1" applyFont="1" applyFill="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79" fontId="3" fillId="11" borderId="1" xfId="0" applyNumberFormat="1" applyFont="1" applyFill="1" applyBorder="1" applyAlignment="1">
      <alignment horizontal="left"/>
    </xf>
    <xf numFmtId="179" fontId="3" fillId="11" borderId="3" xfId="0" applyNumberFormat="1" applyFont="1" applyFill="1" applyBorder="1" applyAlignment="1">
      <alignment horizontal="left"/>
    </xf>
    <xf numFmtId="0" fontId="28" fillId="0" borderId="12" xfId="0" applyFont="1" applyBorder="1" applyAlignment="1">
      <alignment horizontal="left" wrapText="1"/>
    </xf>
    <xf numFmtId="0" fontId="28" fillId="0" borderId="14" xfId="0" applyFont="1" applyBorder="1" applyAlignment="1">
      <alignment horizontal="left"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4" fillId="0" borderId="0" xfId="3" applyNumberFormat="1" applyFont="1" applyBorder="1" applyAlignment="1" applyProtection="1">
      <alignment horizontal="center" vertical="center"/>
    </xf>
  </cellXfs>
  <cellStyles count="6">
    <cellStyle name="Comma" xfId="5" builtinId="3"/>
    <cellStyle name="Currency" xfId="1" builtinId="4"/>
    <cellStyle name="Hyperlink" xfId="3" builtinId="8"/>
    <cellStyle name="Normal" xfId="0" builtinId="0"/>
    <cellStyle name="Percent" xfId="2" builtinId="5"/>
    <cellStyle name="Percent 2" xfId="4" xr:uid="{00000000-0005-0000-0000-000005000000}"/>
  </cellStyles>
  <dxfs count="20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ill>
        <patternFill patternType="none">
          <bgColor auto="1"/>
        </patternFill>
      </fill>
    </dxf>
    <dxf>
      <fill>
        <patternFill patternType="none">
          <bgColor auto="1"/>
        </patternFill>
      </fill>
    </dxf>
    <dxf>
      <font>
        <color auto="1"/>
      </font>
      <fill>
        <patternFill>
          <bgColor rgb="FF00B050"/>
        </patternFill>
      </fill>
    </dxf>
    <dxf>
      <font>
        <color auto="1"/>
      </font>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ill>
        <patternFill>
          <bgColor rgb="FF00B050"/>
        </patternFill>
      </fill>
    </dxf>
    <dxf>
      <fill>
        <patternFill>
          <bgColor rgb="FFFF0000"/>
        </patternFill>
      </fill>
    </dxf>
    <dxf>
      <font>
        <color theme="0"/>
      </font>
      <fill>
        <patternFill>
          <bgColor theme="0"/>
        </patternFill>
      </fill>
    </dxf>
    <dxf>
      <font>
        <color rgb="FF0070C0"/>
      </font>
      <fill>
        <patternFill>
          <bgColor theme="0"/>
        </patternFill>
      </fill>
    </dxf>
    <dxf>
      <font>
        <color rgb="FF0070C0"/>
      </font>
      <fill>
        <patternFill>
          <bgColor theme="0"/>
        </patternFill>
      </fill>
    </dxf>
    <dxf>
      <font>
        <color theme="0"/>
      </font>
      <fill>
        <patternFill>
          <bgColor theme="0"/>
        </patternFill>
      </fill>
    </dxf>
    <dxf>
      <fill>
        <patternFill>
          <bgColor rgb="FFFF000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ont>
        <color theme="4"/>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ill>
        <patternFill>
          <bgColor theme="0"/>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
      <fill>
        <patternFill patternType="none">
          <bgColor auto="1"/>
        </patternFill>
      </fill>
    </dxf>
    <dxf>
      <fill>
        <patternFill>
          <bgColor rgb="FF00B050"/>
        </patternFill>
      </fill>
    </dxf>
    <dxf>
      <font>
        <color theme="0" tint="-0.14996795556505021"/>
      </font>
      <fill>
        <patternFill>
          <bgColor theme="0" tint="-0.14996795556505021"/>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patternType="none">
          <bgColor auto="1"/>
        </patternFill>
      </fill>
    </dxf>
    <dxf>
      <fill>
        <patternFill>
          <bgColor rgb="FFFF0000"/>
        </patternFill>
      </fill>
    </dxf>
    <dxf>
      <font>
        <color theme="0" tint="-0.14996795556505021"/>
      </font>
      <fill>
        <patternFill>
          <bgColor theme="0" tint="-0.14996795556505021"/>
        </patternFill>
      </fill>
    </dxf>
    <dxf>
      <fill>
        <patternFill>
          <bgColor theme="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theme="0"/>
      </font>
      <fill>
        <patternFill>
          <bgColor theme="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0" tint="-0.14996795556505021"/>
      </font>
      <fill>
        <patternFill>
          <bgColor theme="0" tint="-0.14996795556505021"/>
        </patternFill>
      </fill>
    </dxf>
    <dxf>
      <fill>
        <patternFill>
          <bgColor rgb="FFFF0000"/>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0" tint="-0.14996795556505021"/>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auto="1"/>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s>
  <tableStyles count="0" defaultTableStyle="TableStyleMedium9" defaultPivotStyle="PivotStyleLight16"/>
  <colors>
    <mruColors>
      <color rgb="FFFFFF99"/>
      <color rgb="FF00B050"/>
      <color rgb="FF009900"/>
      <color rgb="FFE658AD"/>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"$"#,##0_);[Red]\("$"#,##0\)</c:formatCode>
                <c:ptCount val="31"/>
                <c:pt idx="0">
                  <c:v>-79810656.836137891</c:v>
                </c:pt>
                <c:pt idx="1">
                  <c:v>-33623484.49071072</c:v>
                </c:pt>
                <c:pt idx="2">
                  <c:v>-18350106.40418569</c:v>
                </c:pt>
                <c:pt idx="3">
                  <c:v>-7554260.6627897602</c:v>
                </c:pt>
                <c:pt idx="4">
                  <c:v>695702.6274386039</c:v>
                </c:pt>
                <c:pt idx="5">
                  <c:v>8767738.8928548694</c:v>
                </c:pt>
                <c:pt idx="6">
                  <c:v>14735854.070586789</c:v>
                </c:pt>
                <c:pt idx="7">
                  <c:v>18565029.844944786</c:v>
                </c:pt>
                <c:pt idx="8">
                  <c:v>22183236.084017992</c:v>
                </c:pt>
                <c:pt idx="9">
                  <c:v>25582502.97816585</c:v>
                </c:pt>
                <c:pt idx="10">
                  <c:v>28754206.075443354</c:v>
                </c:pt>
                <c:pt idx="11">
                  <c:v>31689277.838581495</c:v>
                </c:pt>
                <c:pt idx="12">
                  <c:v>34300048.9257081</c:v>
                </c:pt>
                <c:pt idx="13">
                  <c:v>36421594.877002187</c:v>
                </c:pt>
                <c:pt idx="14">
                  <c:v>38053203.2286845</c:v>
                </c:pt>
                <c:pt idx="15">
                  <c:v>39193235.400248624</c:v>
                </c:pt>
                <c:pt idx="16">
                  <c:v>50438592.52638258</c:v>
                </c:pt>
                <c:pt idx="17">
                  <c:v>57815977.750905588</c:v>
                </c:pt>
                <c:pt idx="18">
                  <c:v>64904816.231829301</c:v>
                </c:pt>
                <c:pt idx="19">
                  <c:v>71713705.067410722</c:v>
                </c:pt>
                <c:pt idx="20">
                  <c:v>79192491.793345243</c:v>
                </c:pt>
                <c:pt idx="21">
                  <c:v>79383209.865362108</c:v>
                </c:pt>
                <c:pt idx="22">
                  <c:v>79531010.582593739</c:v>
                </c:pt>
                <c:pt idx="23">
                  <c:v>79653613.722867996</c:v>
                </c:pt>
                <c:pt idx="24">
                  <c:v>79750819.486461371</c:v>
                </c:pt>
                <c:pt idx="25">
                  <c:v>82377292.758432016</c:v>
                </c:pt>
                <c:pt idx="26">
                  <c:v>82377292.758432016</c:v>
                </c:pt>
                <c:pt idx="27">
                  <c:v>82377292.758432016</c:v>
                </c:pt>
                <c:pt idx="28">
                  <c:v>82377292.758432016</c:v>
                </c:pt>
                <c:pt idx="29">
                  <c:v>82377292.758432016</c:v>
                </c:pt>
                <c:pt idx="30">
                  <c:v>82377292.758432016</c:v>
                </c:pt>
              </c:numCache>
            </c:numRef>
          </c:val>
          <c:smooth val="0"/>
          <c:extLst>
            <c:ext xmlns:c16="http://schemas.microsoft.com/office/drawing/2014/chart" uri="{C3380CC4-5D6E-409C-BE32-E72D297353CC}">
              <c16:uniqueId val="{00000000-E27D-3C44-80BB-899820EFDC32}"/>
            </c:ext>
          </c:extLst>
        </c:ser>
        <c:dLbls>
          <c:showLegendKey val="0"/>
          <c:showVal val="0"/>
          <c:showCatName val="0"/>
          <c:showSerName val="0"/>
          <c:showPercent val="0"/>
          <c:showBubbleSize val="0"/>
        </c:dLbls>
        <c:smooth val="0"/>
        <c:axId val="136877184"/>
        <c:axId val="107683840"/>
      </c:lineChart>
      <c:catAx>
        <c:axId val="136877184"/>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07683840"/>
        <c:crosses val="autoZero"/>
        <c:auto val="1"/>
        <c:lblAlgn val="ctr"/>
        <c:lblOffset val="100"/>
        <c:tickLblSkip val="5"/>
        <c:noMultiLvlLbl val="0"/>
      </c:catAx>
      <c:valAx>
        <c:axId val="107683840"/>
        <c:scaling>
          <c:orientation val="minMax"/>
        </c:scaling>
        <c:delete val="0"/>
        <c:axPos val="l"/>
        <c:title>
          <c:tx>
            <c:rich>
              <a:bodyPr rot="-5400000" vert="horz"/>
              <a:lstStyle/>
              <a:p>
                <a:pPr>
                  <a:defRPr sz="1100" b="1"/>
                </a:pPr>
                <a:r>
                  <a:rPr lang="en-US" sz="1100" b="1"/>
                  <a:t>Cumulative Cash Flow ($)</a:t>
                </a:r>
              </a:p>
            </c:rich>
          </c:tx>
          <c:overlay val="0"/>
        </c:title>
        <c:numFmt formatCode="&quot;$&quot;#,##0_);[Red]\(&quot;$&quot;#,##0\)" sourceLinked="1"/>
        <c:majorTickMark val="out"/>
        <c:minorTickMark val="none"/>
        <c:tickLblPos val="nextTo"/>
        <c:crossAx val="136877184"/>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232" l="0.70000000000000062" r="0.70000000000000062" t="0.750000000000012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(Loss) v. </a:t>
            </a:r>
          </a:p>
          <a:p>
            <a:pPr>
              <a:defRPr/>
            </a:pPr>
            <a:r>
              <a:rPr lang="en-US"/>
              <a:t>Expenses + Cash Obligations</a:t>
            </a:r>
          </a:p>
        </c:rich>
      </c:tx>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"$"#,##0_);[Red]\("$"#,##0\)</c:formatCode>
                <c:ptCount val="31"/>
                <c:pt idx="1">
                  <c:v>11787040.320315398</c:v>
                </c:pt>
                <c:pt idx="2">
                  <c:v>11846758.353516649</c:v>
                </c:pt>
                <c:pt idx="3">
                  <c:v>11907492.781307898</c:v>
                </c:pt>
                <c:pt idx="4">
                  <c:v>11969259.724673947</c:v>
                </c:pt>
                <c:pt idx="5">
                  <c:v>12032075.572112434</c:v>
                </c:pt>
                <c:pt idx="6">
                  <c:v>12095956.984127112</c:v>
                </c:pt>
                <c:pt idx="7">
                  <c:v>12160920.897798393</c:v>
                </c:pt>
                <c:pt idx="8">
                  <c:v>12226984.53143256</c:v>
                </c:pt>
                <c:pt idx="9">
                  <c:v>12294165.38929099</c:v>
                </c:pt>
                <c:pt idx="10">
                  <c:v>12362481.266400833</c:v>
                </c:pt>
                <c:pt idx="11">
                  <c:v>12431950.253448542</c:v>
                </c:pt>
                <c:pt idx="12">
                  <c:v>12465059.069730576</c:v>
                </c:pt>
                <c:pt idx="13">
                  <c:v>12421460.640143193</c:v>
                </c:pt>
                <c:pt idx="14">
                  <c:v>12379146.216662629</c:v>
                </c:pt>
                <c:pt idx="15">
                  <c:v>12338101.550231494</c:v>
                </c:pt>
                <c:pt idx="16">
                  <c:v>1670557.6050816383</c:v>
                </c:pt>
                <c:pt idx="17">
                  <c:v>5174597.4412290454</c:v>
                </c:pt>
                <c:pt idx="18">
                  <c:v>5137282.9961515656</c:v>
                </c:pt>
                <c:pt idx="19">
                  <c:v>5101187.6969963536</c:v>
                </c:pt>
                <c:pt idx="20">
                  <c:v>5611478.5887963912</c:v>
                </c:pt>
                <c:pt idx="21">
                  <c:v>5227060.9003470149</c:v>
                </c:pt>
                <c:pt idx="22">
                  <c:v>5201151.9395301687</c:v>
                </c:pt>
                <c:pt idx="23">
                  <c:v>5176091.6713925172</c:v>
                </c:pt>
                <c:pt idx="24">
                  <c:v>5151882.5809455505</c:v>
                </c:pt>
                <c:pt idx="25">
                  <c:v>2557253.2944556484</c:v>
                </c:pt>
                <c:pt idx="26">
                  <c:v>0</c:v>
                </c:pt>
                <c:pt idx="27">
                  <c:v>0</c:v>
                </c:pt>
                <c:pt idx="28">
                  <c:v>0</c:v>
                </c:pt>
                <c:pt idx="29">
                  <c:v>0</c:v>
                </c:pt>
                <c:pt idx="30">
                  <c:v>0</c:v>
                </c:pt>
              </c:numCache>
            </c:numRef>
          </c:val>
          <c:extLst>
            <c:ext xmlns:c16="http://schemas.microsoft.com/office/drawing/2014/chart" uri="{C3380CC4-5D6E-409C-BE32-E72D297353CC}">
              <c16:uniqueId val="{00000000-A9DE-7641-AD22-10AD5B79777D}"/>
            </c:ext>
          </c:extLst>
        </c:ser>
        <c:dLbls>
          <c:showLegendKey val="0"/>
          <c:showVal val="0"/>
          <c:showCatName val="0"/>
          <c:showSerName val="0"/>
          <c:showPercent val="0"/>
          <c:showBubbleSize val="0"/>
        </c:dLbls>
        <c:axId val="107725568"/>
        <c:axId val="107727488"/>
      </c:areaChart>
      <c:lineChart>
        <c:grouping val="standard"/>
        <c:varyColors val="0"/>
        <c:ser>
          <c:idx val="0"/>
          <c:order val="0"/>
          <c:tx>
            <c:strRef>
              <c:f>'Annual Cash Flows &amp; Returns'!$R$4</c:f>
              <c:strCache>
                <c:ptCount val="1"/>
                <c:pt idx="0">
                  <c:v>Revenue + Tax Benefit/(Loss)</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"$"#,##0_);[Red]\("$"#,##0\)</c:formatCode>
                <c:ptCount val="31"/>
                <c:pt idx="1">
                  <c:v>57974212.665742569</c:v>
                </c:pt>
                <c:pt idx="2">
                  <c:v>27120136.44004168</c:v>
                </c:pt>
                <c:pt idx="3">
                  <c:v>22703338.522703826</c:v>
                </c:pt>
                <c:pt idx="4">
                  <c:v>20219223.014902316</c:v>
                </c:pt>
                <c:pt idx="5">
                  <c:v>20104111.837528698</c:v>
                </c:pt>
                <c:pt idx="6">
                  <c:v>18064072.161859028</c:v>
                </c:pt>
                <c:pt idx="7">
                  <c:v>15990096.67215639</c:v>
                </c:pt>
                <c:pt idx="8">
                  <c:v>15845190.770505765</c:v>
                </c:pt>
                <c:pt idx="9">
                  <c:v>15693432.28343885</c:v>
                </c:pt>
                <c:pt idx="10">
                  <c:v>15534184.363678336</c:v>
                </c:pt>
                <c:pt idx="11">
                  <c:v>15367022.016586682</c:v>
                </c:pt>
                <c:pt idx="12">
                  <c:v>15075830.156857178</c:v>
                </c:pt>
                <c:pt idx="13">
                  <c:v>14543006.59143728</c:v>
                </c:pt>
                <c:pt idx="14">
                  <c:v>14010754.56834494</c:v>
                </c:pt>
                <c:pt idx="15">
                  <c:v>13478133.721795619</c:v>
                </c:pt>
                <c:pt idx="16">
                  <c:v>12915914.731215592</c:v>
                </c:pt>
                <c:pt idx="17">
                  <c:v>12551982.665752055</c:v>
                </c:pt>
                <c:pt idx="18">
                  <c:v>12226121.477075282</c:v>
                </c:pt>
                <c:pt idx="19">
                  <c:v>11910076.532577777</c:v>
                </c:pt>
                <c:pt idx="20">
                  <c:v>13090265.314730914</c:v>
                </c:pt>
                <c:pt idx="21">
                  <c:v>5417778.9723638846</c:v>
                </c:pt>
                <c:pt idx="22">
                  <c:v>5348952.6567617953</c:v>
                </c:pt>
                <c:pt idx="23">
                  <c:v>5298694.8116667736</c:v>
                </c:pt>
                <c:pt idx="24">
                  <c:v>5249088.3445389206</c:v>
                </c:pt>
                <c:pt idx="25">
                  <c:v>5183726.5664263004</c:v>
                </c:pt>
                <c:pt idx="26">
                  <c:v>0</c:v>
                </c:pt>
                <c:pt idx="27">
                  <c:v>0</c:v>
                </c:pt>
                <c:pt idx="28">
                  <c:v>0</c:v>
                </c:pt>
                <c:pt idx="29">
                  <c:v>0</c:v>
                </c:pt>
                <c:pt idx="30">
                  <c:v>0</c:v>
                </c:pt>
              </c:numCache>
            </c:numRef>
          </c:val>
          <c:smooth val="0"/>
          <c:extLst>
            <c:ext xmlns:c16="http://schemas.microsoft.com/office/drawing/2014/chart" uri="{C3380CC4-5D6E-409C-BE32-E72D297353CC}">
              <c16:uniqueId val="{00000001-A9DE-7641-AD22-10AD5B79777D}"/>
            </c:ext>
          </c:extLst>
        </c:ser>
        <c:dLbls>
          <c:showLegendKey val="0"/>
          <c:showVal val="0"/>
          <c:showCatName val="0"/>
          <c:showSerName val="0"/>
          <c:showPercent val="0"/>
          <c:showBubbleSize val="0"/>
        </c:dLbls>
        <c:marker val="1"/>
        <c:smooth val="0"/>
        <c:axId val="107725568"/>
        <c:axId val="107727488"/>
      </c:lineChart>
      <c:catAx>
        <c:axId val="107725568"/>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07727488"/>
        <c:crosses val="autoZero"/>
        <c:auto val="1"/>
        <c:lblAlgn val="ctr"/>
        <c:lblOffset val="100"/>
        <c:tickLblSkip val="5"/>
        <c:noMultiLvlLbl val="0"/>
      </c:catAx>
      <c:valAx>
        <c:axId val="107727488"/>
        <c:scaling>
          <c:orientation val="minMax"/>
        </c:scaling>
        <c:delete val="0"/>
        <c:axPos val="l"/>
        <c:title>
          <c:tx>
            <c:rich>
              <a:bodyPr rot="-5400000" vert="horz"/>
              <a:lstStyle/>
              <a:p>
                <a:pPr>
                  <a:defRPr sz="1100" b="1"/>
                </a:pPr>
                <a:r>
                  <a:rPr lang="en-US" sz="1100" b="1"/>
                  <a:t>( $)</a:t>
                </a:r>
              </a:p>
            </c:rich>
          </c:tx>
          <c:overlay val="0"/>
        </c:title>
        <c:numFmt formatCode="&quot;$&quot;#,##0" sourceLinked="0"/>
        <c:majorTickMark val="out"/>
        <c:minorTickMark val="none"/>
        <c:tickLblPos val="nextTo"/>
        <c:crossAx val="107725568"/>
        <c:crosses val="autoZero"/>
        <c:crossBetween val="between"/>
      </c:valAx>
      <c:spPr>
        <a:solidFill>
          <a:srgbClr val="FFFF99"/>
        </a:solidFill>
      </c:spPr>
    </c:plotArea>
    <c:legend>
      <c:legendPos val="r"/>
      <c:overlay val="1"/>
    </c:legend>
    <c:plotVisOnly val="1"/>
    <c:dispBlanksAs val="gap"/>
    <c:showDLblsOverMax val="0"/>
  </c:chart>
  <c:spPr>
    <a:solidFill>
      <a:srgbClr val="FFFF99"/>
    </a:solidFill>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Resource Potential &amp; Production Profile 
(kWh/yr)</a:t>
            </a:r>
          </a:p>
        </c:rich>
      </c:tx>
      <c:layout>
        <c:manualLayout>
          <c:xMode val="edge"/>
          <c:yMode val="edge"/>
          <c:x val="0.31031339963734528"/>
          <c:y val="2.2434667862397256E-2"/>
        </c:manualLayout>
      </c:layout>
      <c:overlay val="1"/>
    </c:title>
    <c:autoTitleDeleted val="0"/>
    <c:plotArea>
      <c:layout>
        <c:manualLayout>
          <c:layoutTarget val="inner"/>
          <c:xMode val="edge"/>
          <c:yMode val="edge"/>
          <c:x val="0.24093901287327982"/>
          <c:y val="3.584743142814141E-2"/>
          <c:w val="0.73462414939775245"/>
          <c:h val="0.79081337430899334"/>
        </c:manualLayout>
      </c:layout>
      <c:lineChart>
        <c:grouping val="standard"/>
        <c:varyColors val="0"/>
        <c:ser>
          <c:idx val="0"/>
          <c:order val="0"/>
          <c:tx>
            <c:strRef>
              <c:f>'Cash Flow'!$B$212</c:f>
              <c:strCache>
                <c:ptCount val="1"/>
                <c:pt idx="0">
                  <c:v>Initial Drilling (no upgrades)</c:v>
                </c:pt>
              </c:strCache>
            </c:strRef>
          </c:tx>
          <c:spPr>
            <a:ln w="19050"/>
          </c:spPr>
          <c:marker>
            <c:symbol val="none"/>
          </c:marker>
          <c:val>
            <c:numRef>
              <c:f>'Cash Flow'!$G$212:$AJ$212</c:f>
              <c:numCache>
                <c:formatCode>#,##0</c:formatCode>
                <c:ptCount val="30"/>
                <c:pt idx="0">
                  <c:v>138315789.47368422</c:v>
                </c:pt>
                <c:pt idx="1">
                  <c:v>134166315.7894737</c:v>
                </c:pt>
                <c:pt idx="2">
                  <c:v>130141326.31578948</c:v>
                </c:pt>
                <c:pt idx="3">
                  <c:v>126237086.52631579</c:v>
                </c:pt>
                <c:pt idx="4">
                  <c:v>122449973.93052632</c:v>
                </c:pt>
                <c:pt idx="5">
                  <c:v>118776474.71261053</c:v>
                </c:pt>
                <c:pt idx="6">
                  <c:v>115213180.47123221</c:v>
                </c:pt>
                <c:pt idx="7">
                  <c:v>111756785.05709523</c:v>
                </c:pt>
                <c:pt idx="8">
                  <c:v>108404081.50538237</c:v>
                </c:pt>
                <c:pt idx="9">
                  <c:v>105151959.0602209</c:v>
                </c:pt>
                <c:pt idx="10">
                  <c:v>101997400.28841427</c:v>
                </c:pt>
                <c:pt idx="11">
                  <c:v>98937478.279761836</c:v>
                </c:pt>
                <c:pt idx="12">
                  <c:v>95969353.931368977</c:v>
                </c:pt>
                <c:pt idx="13">
                  <c:v>93090273.31342791</c:v>
                </c:pt>
                <c:pt idx="14">
                  <c:v>90297565.114025071</c:v>
                </c:pt>
                <c:pt idx="15">
                  <c:v>87588638.160604313</c:v>
                </c:pt>
                <c:pt idx="16">
                  <c:v>84960979.015786186</c:v>
                </c:pt>
                <c:pt idx="17">
                  <c:v>82412149.645312592</c:v>
                </c:pt>
                <c:pt idx="18">
                  <c:v>79939785.155953214</c:v>
                </c:pt>
                <c:pt idx="19">
                  <c:v>77541591.60127461</c:v>
                </c:pt>
                <c:pt idx="20">
                  <c:v>75215343.853236362</c:v>
                </c:pt>
                <c:pt idx="21">
                  <c:v>72958883.537639275</c:v>
                </c:pt>
                <c:pt idx="22">
                  <c:v>70770117.0315101</c:v>
                </c:pt>
                <c:pt idx="23">
                  <c:v>68647013.520564795</c:v>
                </c:pt>
                <c:pt idx="24">
                  <c:v>66587603.114947848</c:v>
                </c:pt>
                <c:pt idx="25">
                  <c:v>64589975.02149941</c:v>
                </c:pt>
                <c:pt idx="26">
                  <c:v>62652275.770854428</c:v>
                </c:pt>
                <c:pt idx="27">
                  <c:v>60772707.497728795</c:v>
                </c:pt>
                <c:pt idx="28">
                  <c:v>58949526.272796929</c:v>
                </c:pt>
                <c:pt idx="29">
                  <c:v>57181040.484613016</c:v>
                </c:pt>
              </c:numCache>
            </c:numRef>
          </c:val>
          <c:smooth val="0"/>
          <c:extLst>
            <c:ext xmlns:c16="http://schemas.microsoft.com/office/drawing/2014/chart" uri="{C3380CC4-5D6E-409C-BE32-E72D297353CC}">
              <c16:uniqueId val="{00000000-EF9B-494D-9A68-FCBF1C37002E}"/>
            </c:ext>
          </c:extLst>
        </c:ser>
        <c:ser>
          <c:idx val="1"/>
          <c:order val="1"/>
          <c:tx>
            <c:strRef>
              <c:f>'Cash Flow'!$B$213</c:f>
              <c:strCache>
                <c:ptCount val="1"/>
                <c:pt idx="0">
                  <c:v>With First Upgrade</c:v>
                </c:pt>
              </c:strCache>
            </c:strRef>
          </c:tx>
          <c:spPr>
            <a:ln w="19050">
              <a:solidFill>
                <a:schemeClr val="accent6">
                  <a:lumMod val="75000"/>
                </a:schemeClr>
              </a:solidFill>
            </a:ln>
          </c:spPr>
          <c:marker>
            <c:symbol val="none"/>
          </c:marker>
          <c:val>
            <c:numRef>
              <c:f>'Cash Flow'!$G$213:$AJ$213</c:f>
              <c:numCache>
                <c:formatCode>#,##0</c:formatCode>
                <c:ptCount val="30"/>
                <c:pt idx="0">
                  <c:v>138315789.47368422</c:v>
                </c:pt>
                <c:pt idx="1">
                  <c:v>134166315.7894737</c:v>
                </c:pt>
                <c:pt idx="2">
                  <c:v>130141326.31578948</c:v>
                </c:pt>
                <c:pt idx="3">
                  <c:v>126237086.52631579</c:v>
                </c:pt>
                <c:pt idx="4">
                  <c:v>122449973.93052632</c:v>
                </c:pt>
                <c:pt idx="5">
                  <c:v>118776474.71261053</c:v>
                </c:pt>
                <c:pt idx="6">
                  <c:v>115213180.47123221</c:v>
                </c:pt>
                <c:pt idx="7">
                  <c:v>111756785.05709523</c:v>
                </c:pt>
                <c:pt idx="8">
                  <c:v>108404081.50538237</c:v>
                </c:pt>
                <c:pt idx="9">
                  <c:v>112067748.5339051</c:v>
                </c:pt>
                <c:pt idx="10">
                  <c:v>108705716.07788795</c:v>
                </c:pt>
                <c:pt idx="11">
                  <c:v>105444544.59555131</c:v>
                </c:pt>
                <c:pt idx="12">
                  <c:v>102281208.25768477</c:v>
                </c:pt>
                <c:pt idx="13">
                  <c:v>99212772.009954214</c:v>
                </c:pt>
                <c:pt idx="14">
                  <c:v>96236388.849655584</c:v>
                </c:pt>
                <c:pt idx="15">
                  <c:v>93349297.18416591</c:v>
                </c:pt>
                <c:pt idx="16">
                  <c:v>90548818.268640935</c:v>
                </c:pt>
                <c:pt idx="17">
                  <c:v>87832353.72058171</c:v>
                </c:pt>
                <c:pt idx="18">
                  <c:v>85197383.108964249</c:v>
                </c:pt>
                <c:pt idx="19">
                  <c:v>82641461.615695313</c:v>
                </c:pt>
                <c:pt idx="20">
                  <c:v>80162217.767224446</c:v>
                </c:pt>
                <c:pt idx="21">
                  <c:v>77757351.234207705</c:v>
                </c:pt>
                <c:pt idx="22">
                  <c:v>75424630.697181478</c:v>
                </c:pt>
                <c:pt idx="23">
                  <c:v>73161891.776266038</c:v>
                </c:pt>
                <c:pt idx="24">
                  <c:v>70967035.022978052</c:v>
                </c:pt>
                <c:pt idx="25">
                  <c:v>68838023.972288713</c:v>
                </c:pt>
                <c:pt idx="26">
                  <c:v>66772883.25312005</c:v>
                </c:pt>
                <c:pt idx="27">
                  <c:v>64769696.755526446</c:v>
                </c:pt>
                <c:pt idx="28">
                  <c:v>62826605.852860652</c:v>
                </c:pt>
                <c:pt idx="29">
                  <c:v>60941807.677274831</c:v>
                </c:pt>
              </c:numCache>
            </c:numRef>
          </c:val>
          <c:smooth val="0"/>
          <c:extLst>
            <c:ext xmlns:c16="http://schemas.microsoft.com/office/drawing/2014/chart" uri="{C3380CC4-5D6E-409C-BE32-E72D297353CC}">
              <c16:uniqueId val="{00000001-EF9B-494D-9A68-FCBF1C37002E}"/>
            </c:ext>
          </c:extLst>
        </c:ser>
        <c:ser>
          <c:idx val="2"/>
          <c:order val="2"/>
          <c:tx>
            <c:strRef>
              <c:f>'Cash Flow'!$B$214</c:f>
              <c:strCache>
                <c:ptCount val="1"/>
                <c:pt idx="0">
                  <c:v>With Second Upgrade</c:v>
                </c:pt>
              </c:strCache>
            </c:strRef>
          </c:tx>
          <c:spPr>
            <a:ln w="19050"/>
          </c:spPr>
          <c:marker>
            <c:symbol val="none"/>
          </c:marker>
          <c:val>
            <c:numRef>
              <c:f>'Cash Flow'!$G$214:$AJ$214</c:f>
              <c:numCache>
                <c:formatCode>#,##0</c:formatCode>
                <c:ptCount val="30"/>
                <c:pt idx="0">
                  <c:v>138315789.47368422</c:v>
                </c:pt>
                <c:pt idx="1">
                  <c:v>134166315.7894737</c:v>
                </c:pt>
                <c:pt idx="2">
                  <c:v>130141326.31578948</c:v>
                </c:pt>
                <c:pt idx="3">
                  <c:v>126237086.52631579</c:v>
                </c:pt>
                <c:pt idx="4">
                  <c:v>122449973.93052632</c:v>
                </c:pt>
                <c:pt idx="5">
                  <c:v>118776474.71261053</c:v>
                </c:pt>
                <c:pt idx="6">
                  <c:v>115213180.47123221</c:v>
                </c:pt>
                <c:pt idx="7">
                  <c:v>111756785.05709523</c:v>
                </c:pt>
                <c:pt idx="8">
                  <c:v>108404081.50538237</c:v>
                </c:pt>
                <c:pt idx="9">
                  <c:v>112067748.5339051</c:v>
                </c:pt>
                <c:pt idx="10">
                  <c:v>108705716.07788795</c:v>
                </c:pt>
                <c:pt idx="11">
                  <c:v>105444544.59555131</c:v>
                </c:pt>
                <c:pt idx="12">
                  <c:v>102281208.25768477</c:v>
                </c:pt>
                <c:pt idx="13">
                  <c:v>99212772.009954214</c:v>
                </c:pt>
                <c:pt idx="14">
                  <c:v>96236388.849655584</c:v>
                </c:pt>
                <c:pt idx="15">
                  <c:v>93349297.18416591</c:v>
                </c:pt>
                <c:pt idx="16">
                  <c:v>90548818.268640935</c:v>
                </c:pt>
                <c:pt idx="17">
                  <c:v>87832353.72058171</c:v>
                </c:pt>
                <c:pt idx="18">
                  <c:v>85197383.108964249</c:v>
                </c:pt>
                <c:pt idx="19">
                  <c:v>93706724.773590058</c:v>
                </c:pt>
                <c:pt idx="20">
                  <c:v>90895523.03038235</c:v>
                </c:pt>
                <c:pt idx="21">
                  <c:v>88168657.339470878</c:v>
                </c:pt>
                <c:pt idx="22">
                  <c:v>85523597.619286746</c:v>
                </c:pt>
                <c:pt idx="23">
                  <c:v>82957889.690708145</c:v>
                </c:pt>
                <c:pt idx="24">
                  <c:v>80469152.999986902</c:v>
                </c:pt>
                <c:pt idx="25">
                  <c:v>78055078.409987286</c:v>
                </c:pt>
                <c:pt idx="26">
                  <c:v>75713426.05768767</c:v>
                </c:pt>
                <c:pt idx="27">
                  <c:v>73442023.275957033</c:v>
                </c:pt>
                <c:pt idx="28">
                  <c:v>71238762.577678323</c:v>
                </c:pt>
                <c:pt idx="29">
                  <c:v>69101599.700347975</c:v>
                </c:pt>
              </c:numCache>
            </c:numRef>
          </c:val>
          <c:smooth val="0"/>
          <c:extLst>
            <c:ext xmlns:c16="http://schemas.microsoft.com/office/drawing/2014/chart" uri="{C3380CC4-5D6E-409C-BE32-E72D297353CC}">
              <c16:uniqueId val="{00000002-EF9B-494D-9A68-FCBF1C37002E}"/>
            </c:ext>
          </c:extLst>
        </c:ser>
        <c:ser>
          <c:idx val="3"/>
          <c:order val="3"/>
          <c:tx>
            <c:strRef>
              <c:f>'Cash Flow'!$B$219</c:f>
              <c:strCache>
                <c:ptCount val="1"/>
                <c:pt idx="0">
                  <c:v>Power Plant Production Capacity</c:v>
                </c:pt>
              </c:strCache>
            </c:strRef>
          </c:tx>
          <c:spPr>
            <a:ln w="19050"/>
          </c:spPr>
          <c:marker>
            <c:symbol val="none"/>
          </c:marker>
          <c:val>
            <c:numRef>
              <c:f>'Cash Flow'!$G$219:$AJ$219</c:f>
              <c:numCache>
                <c:formatCode>#,##0</c:formatCode>
                <c:ptCount val="30"/>
                <c:pt idx="0">
                  <c:v>112347000</c:v>
                </c:pt>
                <c:pt idx="1">
                  <c:v>111785265</c:v>
                </c:pt>
                <c:pt idx="2">
                  <c:v>111226338.67499998</c:v>
                </c:pt>
                <c:pt idx="3">
                  <c:v>110670206.98162499</c:v>
                </c:pt>
                <c:pt idx="4">
                  <c:v>110116855.94671687</c:v>
                </c:pt>
                <c:pt idx="5">
                  <c:v>109566271.66698329</c:v>
                </c:pt>
                <c:pt idx="6">
                  <c:v>109018440.30864838</c:v>
                </c:pt>
                <c:pt idx="7">
                  <c:v>108473348.10710512</c:v>
                </c:pt>
                <c:pt idx="8">
                  <c:v>107930981.36656959</c:v>
                </c:pt>
                <c:pt idx="9">
                  <c:v>107391326.45973675</c:v>
                </c:pt>
                <c:pt idx="10">
                  <c:v>106854369.82743807</c:v>
                </c:pt>
                <c:pt idx="11">
                  <c:v>106320097.97830088</c:v>
                </c:pt>
                <c:pt idx="12">
                  <c:v>105788497.48840937</c:v>
                </c:pt>
                <c:pt idx="13">
                  <c:v>105259555.00096732</c:v>
                </c:pt>
                <c:pt idx="14">
                  <c:v>104733257.22596249</c:v>
                </c:pt>
                <c:pt idx="15">
                  <c:v>104209590.93983267</c:v>
                </c:pt>
                <c:pt idx="16">
                  <c:v>103688542.98513351</c:v>
                </c:pt>
                <c:pt idx="17">
                  <c:v>103170100.27020784</c:v>
                </c:pt>
                <c:pt idx="18">
                  <c:v>102654249.76885679</c:v>
                </c:pt>
                <c:pt idx="19">
                  <c:v>102140978.52001251</c:v>
                </c:pt>
                <c:pt idx="20">
                  <c:v>101630273.62741244</c:v>
                </c:pt>
                <c:pt idx="21">
                  <c:v>101122122.25927538</c:v>
                </c:pt>
                <c:pt idx="22">
                  <c:v>100616511.64797901</c:v>
                </c:pt>
                <c:pt idx="23">
                  <c:v>100113429.0897391</c:v>
                </c:pt>
                <c:pt idx="24">
                  <c:v>99612861.9442904</c:v>
                </c:pt>
                <c:pt idx="25">
                  <c:v>99114797.634568945</c:v>
                </c:pt>
                <c:pt idx="26">
                  <c:v>98619223.646396101</c:v>
                </c:pt>
                <c:pt idx="27">
                  <c:v>98126127.528164119</c:v>
                </c:pt>
                <c:pt idx="28">
                  <c:v>97635496.8905233</c:v>
                </c:pt>
                <c:pt idx="29">
                  <c:v>97147319.406070679</c:v>
                </c:pt>
              </c:numCache>
            </c:numRef>
          </c:val>
          <c:smooth val="0"/>
          <c:extLst>
            <c:ext xmlns:c16="http://schemas.microsoft.com/office/drawing/2014/chart" uri="{C3380CC4-5D6E-409C-BE32-E72D297353CC}">
              <c16:uniqueId val="{00000003-EF9B-494D-9A68-FCBF1C37002E}"/>
            </c:ext>
          </c:extLst>
        </c:ser>
        <c:ser>
          <c:idx val="4"/>
          <c:order val="4"/>
          <c:tx>
            <c:strRef>
              <c:f>'Cash Flow'!$B$220</c:f>
              <c:strCache>
                <c:ptCount val="1"/>
                <c:pt idx="0">
                  <c:v>Annual Production</c:v>
                </c:pt>
              </c:strCache>
            </c:strRef>
          </c:tx>
          <c:spPr>
            <a:ln>
              <a:solidFill>
                <a:srgbClr val="CC0000"/>
              </a:solidFill>
            </a:ln>
          </c:spPr>
          <c:marker>
            <c:symbol val="none"/>
          </c:marker>
          <c:val>
            <c:numRef>
              <c:f>'Cash Flow'!$G$220:$AJ$220</c:f>
              <c:numCache>
                <c:formatCode>#,##0</c:formatCode>
                <c:ptCount val="30"/>
                <c:pt idx="0">
                  <c:v>112347000</c:v>
                </c:pt>
                <c:pt idx="1">
                  <c:v>111785265</c:v>
                </c:pt>
                <c:pt idx="2">
                  <c:v>111226338.67499998</c:v>
                </c:pt>
                <c:pt idx="3">
                  <c:v>110670206.98162499</c:v>
                </c:pt>
                <c:pt idx="4">
                  <c:v>110116855.94671687</c:v>
                </c:pt>
                <c:pt idx="5">
                  <c:v>109566271.66698329</c:v>
                </c:pt>
                <c:pt idx="6">
                  <c:v>109018440.30864838</c:v>
                </c:pt>
                <c:pt idx="7">
                  <c:v>108473348.10710512</c:v>
                </c:pt>
                <c:pt idx="8">
                  <c:v>107930981.36656959</c:v>
                </c:pt>
                <c:pt idx="9">
                  <c:v>107391326.45973675</c:v>
                </c:pt>
                <c:pt idx="10">
                  <c:v>106854369.82743807</c:v>
                </c:pt>
                <c:pt idx="11">
                  <c:v>105444544.59555131</c:v>
                </c:pt>
                <c:pt idx="12">
                  <c:v>102281208.25768477</c:v>
                </c:pt>
                <c:pt idx="13">
                  <c:v>99212772.009954214</c:v>
                </c:pt>
                <c:pt idx="14">
                  <c:v>96236388.849655584</c:v>
                </c:pt>
                <c:pt idx="15">
                  <c:v>93349297.18416591</c:v>
                </c:pt>
                <c:pt idx="16">
                  <c:v>90548818.268640935</c:v>
                </c:pt>
                <c:pt idx="17">
                  <c:v>87832353.72058171</c:v>
                </c:pt>
                <c:pt idx="18">
                  <c:v>85197383.108964249</c:v>
                </c:pt>
                <c:pt idx="19">
                  <c:v>93706724.773590058</c:v>
                </c:pt>
                <c:pt idx="20">
                  <c:v>90895523.03038235</c:v>
                </c:pt>
                <c:pt idx="21">
                  <c:v>88168657.339470878</c:v>
                </c:pt>
                <c:pt idx="22">
                  <c:v>85523597.619286746</c:v>
                </c:pt>
                <c:pt idx="23">
                  <c:v>82957889.690708145</c:v>
                </c:pt>
                <c:pt idx="24">
                  <c:v>80469152.999986902</c:v>
                </c:pt>
                <c:pt idx="25">
                  <c:v>78055078.409987286</c:v>
                </c:pt>
                <c:pt idx="26">
                  <c:v>75713426.05768767</c:v>
                </c:pt>
                <c:pt idx="27">
                  <c:v>73442023.275957033</c:v>
                </c:pt>
                <c:pt idx="28">
                  <c:v>71238762.577678323</c:v>
                </c:pt>
                <c:pt idx="29">
                  <c:v>69101599.700347975</c:v>
                </c:pt>
              </c:numCache>
            </c:numRef>
          </c:val>
          <c:smooth val="0"/>
          <c:extLst>
            <c:ext xmlns:c16="http://schemas.microsoft.com/office/drawing/2014/chart" uri="{C3380CC4-5D6E-409C-BE32-E72D297353CC}">
              <c16:uniqueId val="{00000004-EF9B-494D-9A68-FCBF1C37002E}"/>
            </c:ext>
          </c:extLst>
        </c:ser>
        <c:dLbls>
          <c:showLegendKey val="0"/>
          <c:showVal val="0"/>
          <c:showCatName val="0"/>
          <c:showSerName val="0"/>
          <c:showPercent val="0"/>
          <c:showBubbleSize val="0"/>
        </c:dLbls>
        <c:smooth val="0"/>
        <c:axId val="109374464"/>
        <c:axId val="109388928"/>
      </c:lineChart>
      <c:catAx>
        <c:axId val="109374464"/>
        <c:scaling>
          <c:orientation val="minMax"/>
        </c:scaling>
        <c:delete val="0"/>
        <c:axPos val="b"/>
        <c:title>
          <c:tx>
            <c:rich>
              <a:bodyPr/>
              <a:lstStyle/>
              <a:p>
                <a:pPr>
                  <a:defRPr/>
                </a:pPr>
                <a:r>
                  <a:rPr lang="en-US"/>
                  <a:t>Year</a:t>
                </a:r>
              </a:p>
            </c:rich>
          </c:tx>
          <c:overlay val="0"/>
        </c:title>
        <c:majorTickMark val="out"/>
        <c:minorTickMark val="none"/>
        <c:tickLblPos val="nextTo"/>
        <c:crossAx val="109388928"/>
        <c:crosses val="autoZero"/>
        <c:auto val="1"/>
        <c:lblAlgn val="ctr"/>
        <c:lblOffset val="100"/>
        <c:noMultiLvlLbl val="0"/>
      </c:catAx>
      <c:valAx>
        <c:axId val="109388928"/>
        <c:scaling>
          <c:orientation val="minMax"/>
        </c:scaling>
        <c:delete val="0"/>
        <c:axPos val="l"/>
        <c:title>
          <c:tx>
            <c:rich>
              <a:bodyPr rot="-5400000" vert="horz"/>
              <a:lstStyle/>
              <a:p>
                <a:pPr>
                  <a:defRPr/>
                </a:pPr>
                <a:r>
                  <a:rPr lang="en-US"/>
                  <a:t>kWh/yr</a:t>
                </a:r>
              </a:p>
            </c:rich>
          </c:tx>
          <c:overlay val="0"/>
        </c:title>
        <c:numFmt formatCode="#,##0" sourceLinked="1"/>
        <c:majorTickMark val="out"/>
        <c:minorTickMark val="none"/>
        <c:tickLblPos val="nextTo"/>
        <c:crossAx val="109374464"/>
        <c:crosses val="autoZero"/>
        <c:crossBetween val="between"/>
      </c:valAx>
      <c:spPr>
        <a:solidFill>
          <a:srgbClr val="FFFF99"/>
        </a:solidFill>
      </c:spPr>
    </c:plotArea>
    <c:legend>
      <c:legendPos val="r"/>
      <c:layout>
        <c:manualLayout>
          <c:xMode val="edge"/>
          <c:yMode val="edge"/>
          <c:x val="0.21355364377221694"/>
          <c:y val="0.50126187723848314"/>
          <c:w val="0.47220030246089717"/>
          <c:h val="0.29712328102377061"/>
        </c:manualLayout>
      </c:layout>
      <c:overlay val="0"/>
    </c:legend>
    <c:plotVisOnly val="1"/>
    <c:dispBlanksAs val="gap"/>
    <c:showDLblsOverMax val="0"/>
  </c:chart>
  <c:spPr>
    <a:solidFill>
      <a:srgbClr val="FFFF99"/>
    </a:solidFill>
  </c:spPr>
  <c:txPr>
    <a:bodyPr/>
    <a:lstStyle/>
    <a:p>
      <a:pPr>
        <a:defRPr sz="1000">
          <a:latin typeface="+mn-lt"/>
          <a:cs typeface="Arial" pitchFamily="34" charset="0"/>
        </a:defRPr>
      </a:pPr>
      <a:endParaRPr lang="en-US"/>
    </a:p>
  </c:txPr>
  <c:printSettings>
    <c:headerFooter/>
    <c:pageMargins b="0.75000000000000944" l="0.70000000000000062" r="0.70000000000000062" t="0.750000000000009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Resource Potential &amp; Production Profile 
(kWh/yr)</a:t>
            </a:r>
          </a:p>
        </c:rich>
      </c:tx>
      <c:layout>
        <c:manualLayout>
          <c:xMode val="edge"/>
          <c:yMode val="edge"/>
          <c:x val="0.31031339963734506"/>
          <c:y val="2.2434667862397256E-2"/>
        </c:manualLayout>
      </c:layout>
      <c:overlay val="1"/>
    </c:title>
    <c:autoTitleDeleted val="0"/>
    <c:plotArea>
      <c:layout>
        <c:manualLayout>
          <c:layoutTarget val="inner"/>
          <c:xMode val="edge"/>
          <c:yMode val="edge"/>
          <c:x val="0.15221148176404603"/>
          <c:y val="3.584743142814141E-2"/>
          <c:w val="0.82335169364823146"/>
          <c:h val="0.79081337430899334"/>
        </c:manualLayout>
      </c:layout>
      <c:lineChart>
        <c:grouping val="standard"/>
        <c:varyColors val="0"/>
        <c:ser>
          <c:idx val="0"/>
          <c:order val="0"/>
          <c:tx>
            <c:strRef>
              <c:f>'Cash Flow'!$B$212</c:f>
              <c:strCache>
                <c:ptCount val="1"/>
                <c:pt idx="0">
                  <c:v>Initial Drilling (no upgrades)</c:v>
                </c:pt>
              </c:strCache>
            </c:strRef>
          </c:tx>
          <c:spPr>
            <a:ln w="19050"/>
          </c:spPr>
          <c:val>
            <c:numRef>
              <c:f>'Cash Flow'!$G$212:$AJ$212</c:f>
              <c:numCache>
                <c:formatCode>#,##0</c:formatCode>
                <c:ptCount val="30"/>
                <c:pt idx="0">
                  <c:v>138315789.47368422</c:v>
                </c:pt>
                <c:pt idx="1">
                  <c:v>134166315.7894737</c:v>
                </c:pt>
                <c:pt idx="2">
                  <c:v>130141326.31578948</c:v>
                </c:pt>
                <c:pt idx="3">
                  <c:v>126237086.52631579</c:v>
                </c:pt>
                <c:pt idx="4">
                  <c:v>122449973.93052632</c:v>
                </c:pt>
                <c:pt idx="5">
                  <c:v>118776474.71261053</c:v>
                </c:pt>
                <c:pt idx="6">
                  <c:v>115213180.47123221</c:v>
                </c:pt>
                <c:pt idx="7">
                  <c:v>111756785.05709523</c:v>
                </c:pt>
                <c:pt idx="8">
                  <c:v>108404081.50538237</c:v>
                </c:pt>
                <c:pt idx="9">
                  <c:v>105151959.0602209</c:v>
                </c:pt>
                <c:pt idx="10">
                  <c:v>101997400.28841427</c:v>
                </c:pt>
                <c:pt idx="11">
                  <c:v>98937478.279761836</c:v>
                </c:pt>
                <c:pt idx="12">
                  <c:v>95969353.931368977</c:v>
                </c:pt>
                <c:pt idx="13">
                  <c:v>93090273.31342791</c:v>
                </c:pt>
                <c:pt idx="14">
                  <c:v>90297565.114025071</c:v>
                </c:pt>
                <c:pt idx="15">
                  <c:v>87588638.160604313</c:v>
                </c:pt>
                <c:pt idx="16">
                  <c:v>84960979.015786186</c:v>
                </c:pt>
                <c:pt idx="17">
                  <c:v>82412149.645312592</c:v>
                </c:pt>
                <c:pt idx="18">
                  <c:v>79939785.155953214</c:v>
                </c:pt>
                <c:pt idx="19">
                  <c:v>77541591.60127461</c:v>
                </c:pt>
                <c:pt idx="20">
                  <c:v>75215343.853236362</c:v>
                </c:pt>
                <c:pt idx="21">
                  <c:v>72958883.537639275</c:v>
                </c:pt>
                <c:pt idx="22">
                  <c:v>70770117.0315101</c:v>
                </c:pt>
                <c:pt idx="23">
                  <c:v>68647013.520564795</c:v>
                </c:pt>
                <c:pt idx="24">
                  <c:v>66587603.114947848</c:v>
                </c:pt>
                <c:pt idx="25">
                  <c:v>64589975.02149941</c:v>
                </c:pt>
                <c:pt idx="26">
                  <c:v>62652275.770854428</c:v>
                </c:pt>
                <c:pt idx="27">
                  <c:v>60772707.497728795</c:v>
                </c:pt>
                <c:pt idx="28">
                  <c:v>58949526.272796929</c:v>
                </c:pt>
                <c:pt idx="29">
                  <c:v>57181040.484613016</c:v>
                </c:pt>
              </c:numCache>
            </c:numRef>
          </c:val>
          <c:smooth val="0"/>
          <c:extLst>
            <c:ext xmlns:c16="http://schemas.microsoft.com/office/drawing/2014/chart" uri="{C3380CC4-5D6E-409C-BE32-E72D297353CC}">
              <c16:uniqueId val="{00000000-FA73-EC44-82DA-71873E10AEA6}"/>
            </c:ext>
          </c:extLst>
        </c:ser>
        <c:ser>
          <c:idx val="1"/>
          <c:order val="1"/>
          <c:tx>
            <c:strRef>
              <c:f>'Cash Flow'!$B$213</c:f>
              <c:strCache>
                <c:ptCount val="1"/>
                <c:pt idx="0">
                  <c:v>With First Upgrade</c:v>
                </c:pt>
              </c:strCache>
            </c:strRef>
          </c:tx>
          <c:spPr>
            <a:ln w="19050">
              <a:solidFill>
                <a:schemeClr val="accent6">
                  <a:lumMod val="75000"/>
                </a:schemeClr>
              </a:solidFill>
            </a:ln>
          </c:spPr>
          <c:val>
            <c:numRef>
              <c:f>'Cash Flow'!$G$213:$AJ$213</c:f>
              <c:numCache>
                <c:formatCode>#,##0</c:formatCode>
                <c:ptCount val="30"/>
                <c:pt idx="0">
                  <c:v>138315789.47368422</c:v>
                </c:pt>
                <c:pt idx="1">
                  <c:v>134166315.7894737</c:v>
                </c:pt>
                <c:pt idx="2">
                  <c:v>130141326.31578948</c:v>
                </c:pt>
                <c:pt idx="3">
                  <c:v>126237086.52631579</c:v>
                </c:pt>
                <c:pt idx="4">
                  <c:v>122449973.93052632</c:v>
                </c:pt>
                <c:pt idx="5">
                  <c:v>118776474.71261053</c:v>
                </c:pt>
                <c:pt idx="6">
                  <c:v>115213180.47123221</c:v>
                </c:pt>
                <c:pt idx="7">
                  <c:v>111756785.05709523</c:v>
                </c:pt>
                <c:pt idx="8">
                  <c:v>108404081.50538237</c:v>
                </c:pt>
                <c:pt idx="9">
                  <c:v>112067748.5339051</c:v>
                </c:pt>
                <c:pt idx="10">
                  <c:v>108705716.07788795</c:v>
                </c:pt>
                <c:pt idx="11">
                  <c:v>105444544.59555131</c:v>
                </c:pt>
                <c:pt idx="12">
                  <c:v>102281208.25768477</c:v>
                </c:pt>
                <c:pt idx="13">
                  <c:v>99212772.009954214</c:v>
                </c:pt>
                <c:pt idx="14">
                  <c:v>96236388.849655584</c:v>
                </c:pt>
                <c:pt idx="15">
                  <c:v>93349297.18416591</c:v>
                </c:pt>
                <c:pt idx="16">
                  <c:v>90548818.268640935</c:v>
                </c:pt>
                <c:pt idx="17">
                  <c:v>87832353.72058171</c:v>
                </c:pt>
                <c:pt idx="18">
                  <c:v>85197383.108964249</c:v>
                </c:pt>
                <c:pt idx="19">
                  <c:v>82641461.615695313</c:v>
                </c:pt>
                <c:pt idx="20">
                  <c:v>80162217.767224446</c:v>
                </c:pt>
                <c:pt idx="21">
                  <c:v>77757351.234207705</c:v>
                </c:pt>
                <c:pt idx="22">
                  <c:v>75424630.697181478</c:v>
                </c:pt>
                <c:pt idx="23">
                  <c:v>73161891.776266038</c:v>
                </c:pt>
                <c:pt idx="24">
                  <c:v>70967035.022978052</c:v>
                </c:pt>
                <c:pt idx="25">
                  <c:v>68838023.972288713</c:v>
                </c:pt>
                <c:pt idx="26">
                  <c:v>66772883.25312005</c:v>
                </c:pt>
                <c:pt idx="27">
                  <c:v>64769696.755526446</c:v>
                </c:pt>
                <c:pt idx="28">
                  <c:v>62826605.852860652</c:v>
                </c:pt>
                <c:pt idx="29">
                  <c:v>60941807.677274831</c:v>
                </c:pt>
              </c:numCache>
            </c:numRef>
          </c:val>
          <c:smooth val="0"/>
          <c:extLst>
            <c:ext xmlns:c16="http://schemas.microsoft.com/office/drawing/2014/chart" uri="{C3380CC4-5D6E-409C-BE32-E72D297353CC}">
              <c16:uniqueId val="{00000001-FA73-EC44-82DA-71873E10AEA6}"/>
            </c:ext>
          </c:extLst>
        </c:ser>
        <c:ser>
          <c:idx val="2"/>
          <c:order val="2"/>
          <c:tx>
            <c:strRef>
              <c:f>'Cash Flow'!$B$214</c:f>
              <c:strCache>
                <c:ptCount val="1"/>
                <c:pt idx="0">
                  <c:v>With Second Upgrade</c:v>
                </c:pt>
              </c:strCache>
            </c:strRef>
          </c:tx>
          <c:spPr>
            <a:ln w="19050"/>
          </c:spPr>
          <c:val>
            <c:numRef>
              <c:f>'Cash Flow'!$G$214:$AJ$214</c:f>
              <c:numCache>
                <c:formatCode>#,##0</c:formatCode>
                <c:ptCount val="30"/>
                <c:pt idx="0">
                  <c:v>138315789.47368422</c:v>
                </c:pt>
                <c:pt idx="1">
                  <c:v>134166315.7894737</c:v>
                </c:pt>
                <c:pt idx="2">
                  <c:v>130141326.31578948</c:v>
                </c:pt>
                <c:pt idx="3">
                  <c:v>126237086.52631579</c:v>
                </c:pt>
                <c:pt idx="4">
                  <c:v>122449973.93052632</c:v>
                </c:pt>
                <c:pt idx="5">
                  <c:v>118776474.71261053</c:v>
                </c:pt>
                <c:pt idx="6">
                  <c:v>115213180.47123221</c:v>
                </c:pt>
                <c:pt idx="7">
                  <c:v>111756785.05709523</c:v>
                </c:pt>
                <c:pt idx="8">
                  <c:v>108404081.50538237</c:v>
                </c:pt>
                <c:pt idx="9">
                  <c:v>112067748.5339051</c:v>
                </c:pt>
                <c:pt idx="10">
                  <c:v>108705716.07788795</c:v>
                </c:pt>
                <c:pt idx="11">
                  <c:v>105444544.59555131</c:v>
                </c:pt>
                <c:pt idx="12">
                  <c:v>102281208.25768477</c:v>
                </c:pt>
                <c:pt idx="13">
                  <c:v>99212772.009954214</c:v>
                </c:pt>
                <c:pt idx="14">
                  <c:v>96236388.849655584</c:v>
                </c:pt>
                <c:pt idx="15">
                  <c:v>93349297.18416591</c:v>
                </c:pt>
                <c:pt idx="16">
                  <c:v>90548818.268640935</c:v>
                </c:pt>
                <c:pt idx="17">
                  <c:v>87832353.72058171</c:v>
                </c:pt>
                <c:pt idx="18">
                  <c:v>85197383.108964249</c:v>
                </c:pt>
                <c:pt idx="19">
                  <c:v>93706724.773590058</c:v>
                </c:pt>
                <c:pt idx="20">
                  <c:v>90895523.03038235</c:v>
                </c:pt>
                <c:pt idx="21">
                  <c:v>88168657.339470878</c:v>
                </c:pt>
                <c:pt idx="22">
                  <c:v>85523597.619286746</c:v>
                </c:pt>
                <c:pt idx="23">
                  <c:v>82957889.690708145</c:v>
                </c:pt>
                <c:pt idx="24">
                  <c:v>80469152.999986902</c:v>
                </c:pt>
                <c:pt idx="25">
                  <c:v>78055078.409987286</c:v>
                </c:pt>
                <c:pt idx="26">
                  <c:v>75713426.05768767</c:v>
                </c:pt>
                <c:pt idx="27">
                  <c:v>73442023.275957033</c:v>
                </c:pt>
                <c:pt idx="28">
                  <c:v>71238762.577678323</c:v>
                </c:pt>
                <c:pt idx="29">
                  <c:v>69101599.700347975</c:v>
                </c:pt>
              </c:numCache>
            </c:numRef>
          </c:val>
          <c:smooth val="0"/>
          <c:extLst>
            <c:ext xmlns:c16="http://schemas.microsoft.com/office/drawing/2014/chart" uri="{C3380CC4-5D6E-409C-BE32-E72D297353CC}">
              <c16:uniqueId val="{00000002-FA73-EC44-82DA-71873E10AEA6}"/>
            </c:ext>
          </c:extLst>
        </c:ser>
        <c:ser>
          <c:idx val="3"/>
          <c:order val="3"/>
          <c:tx>
            <c:strRef>
              <c:f>'Cash Flow'!$B$219</c:f>
              <c:strCache>
                <c:ptCount val="1"/>
                <c:pt idx="0">
                  <c:v>Power Plant Production Capacity</c:v>
                </c:pt>
              </c:strCache>
            </c:strRef>
          </c:tx>
          <c:spPr>
            <a:ln w="19050"/>
          </c:spPr>
          <c:val>
            <c:numRef>
              <c:f>'Cash Flow'!$G$219:$AJ$219</c:f>
              <c:numCache>
                <c:formatCode>#,##0</c:formatCode>
                <c:ptCount val="30"/>
                <c:pt idx="0">
                  <c:v>112347000</c:v>
                </c:pt>
                <c:pt idx="1">
                  <c:v>111785265</c:v>
                </c:pt>
                <c:pt idx="2">
                  <c:v>111226338.67499998</c:v>
                </c:pt>
                <c:pt idx="3">
                  <c:v>110670206.98162499</c:v>
                </c:pt>
                <c:pt idx="4">
                  <c:v>110116855.94671687</c:v>
                </c:pt>
                <c:pt idx="5">
                  <c:v>109566271.66698329</c:v>
                </c:pt>
                <c:pt idx="6">
                  <c:v>109018440.30864838</c:v>
                </c:pt>
                <c:pt idx="7">
                  <c:v>108473348.10710512</c:v>
                </c:pt>
                <c:pt idx="8">
                  <c:v>107930981.36656959</c:v>
                </c:pt>
                <c:pt idx="9">
                  <c:v>107391326.45973675</c:v>
                </c:pt>
                <c:pt idx="10">
                  <c:v>106854369.82743807</c:v>
                </c:pt>
                <c:pt idx="11">
                  <c:v>106320097.97830088</c:v>
                </c:pt>
                <c:pt idx="12">
                  <c:v>105788497.48840937</c:v>
                </c:pt>
                <c:pt idx="13">
                  <c:v>105259555.00096732</c:v>
                </c:pt>
                <c:pt idx="14">
                  <c:v>104733257.22596249</c:v>
                </c:pt>
                <c:pt idx="15">
                  <c:v>104209590.93983267</c:v>
                </c:pt>
                <c:pt idx="16">
                  <c:v>103688542.98513351</c:v>
                </c:pt>
                <c:pt idx="17">
                  <c:v>103170100.27020784</c:v>
                </c:pt>
                <c:pt idx="18">
                  <c:v>102654249.76885679</c:v>
                </c:pt>
                <c:pt idx="19">
                  <c:v>102140978.52001251</c:v>
                </c:pt>
                <c:pt idx="20">
                  <c:v>101630273.62741244</c:v>
                </c:pt>
                <c:pt idx="21">
                  <c:v>101122122.25927538</c:v>
                </c:pt>
                <c:pt idx="22">
                  <c:v>100616511.64797901</c:v>
                </c:pt>
                <c:pt idx="23">
                  <c:v>100113429.0897391</c:v>
                </c:pt>
                <c:pt idx="24">
                  <c:v>99612861.9442904</c:v>
                </c:pt>
                <c:pt idx="25">
                  <c:v>99114797.634568945</c:v>
                </c:pt>
                <c:pt idx="26">
                  <c:v>98619223.646396101</c:v>
                </c:pt>
                <c:pt idx="27">
                  <c:v>98126127.528164119</c:v>
                </c:pt>
                <c:pt idx="28">
                  <c:v>97635496.8905233</c:v>
                </c:pt>
                <c:pt idx="29">
                  <c:v>97147319.406070679</c:v>
                </c:pt>
              </c:numCache>
            </c:numRef>
          </c:val>
          <c:smooth val="0"/>
          <c:extLst>
            <c:ext xmlns:c16="http://schemas.microsoft.com/office/drawing/2014/chart" uri="{C3380CC4-5D6E-409C-BE32-E72D297353CC}">
              <c16:uniqueId val="{00000003-FA73-EC44-82DA-71873E10AEA6}"/>
            </c:ext>
          </c:extLst>
        </c:ser>
        <c:ser>
          <c:idx val="4"/>
          <c:order val="4"/>
          <c:tx>
            <c:strRef>
              <c:f>'Cash Flow'!$B$220</c:f>
              <c:strCache>
                <c:ptCount val="1"/>
                <c:pt idx="0">
                  <c:v>Annual Production</c:v>
                </c:pt>
              </c:strCache>
            </c:strRef>
          </c:tx>
          <c:spPr>
            <a:ln>
              <a:solidFill>
                <a:srgbClr val="CC0000"/>
              </a:solidFill>
            </a:ln>
          </c:spPr>
          <c:val>
            <c:numRef>
              <c:f>'Cash Flow'!$G$220:$AJ$220</c:f>
              <c:numCache>
                <c:formatCode>#,##0</c:formatCode>
                <c:ptCount val="30"/>
                <c:pt idx="0">
                  <c:v>112347000</c:v>
                </c:pt>
                <c:pt idx="1">
                  <c:v>111785265</c:v>
                </c:pt>
                <c:pt idx="2">
                  <c:v>111226338.67499998</c:v>
                </c:pt>
                <c:pt idx="3">
                  <c:v>110670206.98162499</c:v>
                </c:pt>
                <c:pt idx="4">
                  <c:v>110116855.94671687</c:v>
                </c:pt>
                <c:pt idx="5">
                  <c:v>109566271.66698329</c:v>
                </c:pt>
                <c:pt idx="6">
                  <c:v>109018440.30864838</c:v>
                </c:pt>
                <c:pt idx="7">
                  <c:v>108473348.10710512</c:v>
                </c:pt>
                <c:pt idx="8">
                  <c:v>107930981.36656959</c:v>
                </c:pt>
                <c:pt idx="9">
                  <c:v>107391326.45973675</c:v>
                </c:pt>
                <c:pt idx="10">
                  <c:v>106854369.82743807</c:v>
                </c:pt>
                <c:pt idx="11">
                  <c:v>105444544.59555131</c:v>
                </c:pt>
                <c:pt idx="12">
                  <c:v>102281208.25768477</c:v>
                </c:pt>
                <c:pt idx="13">
                  <c:v>99212772.009954214</c:v>
                </c:pt>
                <c:pt idx="14">
                  <c:v>96236388.849655584</c:v>
                </c:pt>
                <c:pt idx="15">
                  <c:v>93349297.18416591</c:v>
                </c:pt>
                <c:pt idx="16">
                  <c:v>90548818.268640935</c:v>
                </c:pt>
                <c:pt idx="17">
                  <c:v>87832353.72058171</c:v>
                </c:pt>
                <c:pt idx="18">
                  <c:v>85197383.108964249</c:v>
                </c:pt>
                <c:pt idx="19">
                  <c:v>93706724.773590058</c:v>
                </c:pt>
                <c:pt idx="20">
                  <c:v>90895523.03038235</c:v>
                </c:pt>
                <c:pt idx="21">
                  <c:v>88168657.339470878</c:v>
                </c:pt>
                <c:pt idx="22">
                  <c:v>85523597.619286746</c:v>
                </c:pt>
                <c:pt idx="23">
                  <c:v>82957889.690708145</c:v>
                </c:pt>
                <c:pt idx="24">
                  <c:v>80469152.999986902</c:v>
                </c:pt>
                <c:pt idx="25">
                  <c:v>78055078.409987286</c:v>
                </c:pt>
                <c:pt idx="26">
                  <c:v>75713426.05768767</c:v>
                </c:pt>
                <c:pt idx="27">
                  <c:v>73442023.275957033</c:v>
                </c:pt>
                <c:pt idx="28">
                  <c:v>71238762.577678323</c:v>
                </c:pt>
                <c:pt idx="29">
                  <c:v>69101599.700347975</c:v>
                </c:pt>
              </c:numCache>
            </c:numRef>
          </c:val>
          <c:smooth val="0"/>
          <c:extLst>
            <c:ext xmlns:c16="http://schemas.microsoft.com/office/drawing/2014/chart" uri="{C3380CC4-5D6E-409C-BE32-E72D297353CC}">
              <c16:uniqueId val="{00000004-FA73-EC44-82DA-71873E10AEA6}"/>
            </c:ext>
          </c:extLst>
        </c:ser>
        <c:dLbls>
          <c:showLegendKey val="0"/>
          <c:showVal val="0"/>
          <c:showCatName val="0"/>
          <c:showSerName val="0"/>
          <c:showPercent val="0"/>
          <c:showBubbleSize val="0"/>
        </c:dLbls>
        <c:marker val="1"/>
        <c:smooth val="0"/>
        <c:axId val="136492544"/>
        <c:axId val="136494464"/>
      </c:lineChart>
      <c:catAx>
        <c:axId val="136492544"/>
        <c:scaling>
          <c:orientation val="minMax"/>
        </c:scaling>
        <c:delete val="0"/>
        <c:axPos val="b"/>
        <c:title>
          <c:tx>
            <c:rich>
              <a:bodyPr/>
              <a:lstStyle/>
              <a:p>
                <a:pPr>
                  <a:defRPr/>
                </a:pPr>
                <a:r>
                  <a:rPr lang="en-US"/>
                  <a:t>Year</a:t>
                </a:r>
              </a:p>
            </c:rich>
          </c:tx>
          <c:overlay val="0"/>
        </c:title>
        <c:majorTickMark val="out"/>
        <c:minorTickMark val="none"/>
        <c:tickLblPos val="nextTo"/>
        <c:crossAx val="136494464"/>
        <c:crosses val="autoZero"/>
        <c:auto val="1"/>
        <c:lblAlgn val="ctr"/>
        <c:lblOffset val="100"/>
        <c:noMultiLvlLbl val="0"/>
      </c:catAx>
      <c:valAx>
        <c:axId val="136494464"/>
        <c:scaling>
          <c:orientation val="minMax"/>
        </c:scaling>
        <c:delete val="0"/>
        <c:axPos val="l"/>
        <c:title>
          <c:tx>
            <c:rich>
              <a:bodyPr rot="-5400000" vert="horz"/>
              <a:lstStyle/>
              <a:p>
                <a:pPr>
                  <a:defRPr/>
                </a:pPr>
                <a:r>
                  <a:rPr lang="en-US"/>
                  <a:t>kWh/yr</a:t>
                </a:r>
              </a:p>
            </c:rich>
          </c:tx>
          <c:overlay val="0"/>
        </c:title>
        <c:numFmt formatCode="#,##0" sourceLinked="1"/>
        <c:majorTickMark val="out"/>
        <c:minorTickMark val="none"/>
        <c:tickLblPos val="nextTo"/>
        <c:crossAx val="136492544"/>
        <c:crosses val="autoZero"/>
        <c:crossBetween val="between"/>
      </c:valAx>
    </c:plotArea>
    <c:legend>
      <c:legendPos val="r"/>
      <c:layout>
        <c:manualLayout>
          <c:xMode val="edge"/>
          <c:yMode val="edge"/>
          <c:x val="0.21355364377221694"/>
          <c:y val="0.50126187723848292"/>
          <c:w val="0.47220030246089717"/>
          <c:h val="0.2971232810237705"/>
        </c:manualLayout>
      </c:layout>
      <c:overlay val="0"/>
    </c:legend>
    <c:plotVisOnly val="1"/>
    <c:dispBlanksAs val="gap"/>
    <c:showDLblsOverMax val="0"/>
  </c:chart>
  <c:txPr>
    <a:bodyPr/>
    <a:lstStyle/>
    <a:p>
      <a:pPr>
        <a:defRPr sz="1000">
          <a:latin typeface="+mn-lt"/>
          <a:cs typeface="Arial" pitchFamily="34" charset="0"/>
        </a:defRPr>
      </a:pPr>
      <a:endParaRPr lang="en-US"/>
    </a:p>
  </c:txPr>
  <c:printSettings>
    <c:headerFooter/>
    <c:pageMargins b="0.75000000000000921" l="0.70000000000000062" r="0.70000000000000062" t="0.7500000000000092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154782</xdr:colOff>
      <xdr:row>37</xdr:row>
      <xdr:rowOff>166688</xdr:rowOff>
    </xdr:from>
    <xdr:to>
      <xdr:col>24</xdr:col>
      <xdr:colOff>0</xdr:colOff>
      <xdr:row>61</xdr:row>
      <xdr:rowOff>83344</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10821</xdr:colOff>
      <xdr:row>221</xdr:row>
      <xdr:rowOff>102826</xdr:rowOff>
    </xdr:from>
    <xdr:to>
      <xdr:col>13</xdr:col>
      <xdr:colOff>35718</xdr:colOff>
      <xdr:row>243</xdr:row>
      <xdr:rowOff>35718</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dsireusa.org/incentives/index.cfm?state=us&amp;re=1&amp;EE=1" TargetMode="External"/><Relationship Id="rId7" Type="http://schemas.openxmlformats.org/officeDocument/2006/relationships/printerSettings" Target="../printerSettings/printerSettings1.bin"/><Relationship Id="rId2" Type="http://schemas.openxmlformats.org/officeDocument/2006/relationships/hyperlink" Target="http://dsireusa.org/incentives/incentive.cfm?Incentive_Code=US02F&amp;re=1&amp;ee=1" TargetMode="External"/><Relationship Id="rId1" Type="http://schemas.openxmlformats.org/officeDocument/2006/relationships/hyperlink" Target="http://dsireusa.org/" TargetMode="External"/><Relationship Id="rId6" Type="http://schemas.openxmlformats.org/officeDocument/2006/relationships/hyperlink" Target="http://www1.eere.energy.gov/geothermal/getem.html" TargetMode="External"/><Relationship Id="rId5" Type="http://schemas.openxmlformats.org/officeDocument/2006/relationships/hyperlink" Target="http://financere.nrel.gov/finance/content/crest-model" TargetMode="External"/><Relationship Id="rId4" Type="http://schemas.openxmlformats.org/officeDocument/2006/relationships/hyperlink" Target="http://financere.nrel.gov/finance/content/crest-model"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45"/>
  <sheetViews>
    <sheetView showGridLines="0" tabSelected="1" zoomScale="80" zoomScaleNormal="80" workbookViewId="0">
      <pane ySplit="4" topLeftCell="A5" activePane="bottomLeft" state="frozen"/>
      <selection pane="bottomLeft" activeCell="C4" sqref="C4"/>
    </sheetView>
  </sheetViews>
  <sheetFormatPr baseColWidth="10" defaultColWidth="9.1640625" defaultRowHeight="16"/>
  <cols>
    <col min="1" max="1" width="2.6640625" style="132" customWidth="1"/>
    <col min="2" max="2" width="28.5" style="132" customWidth="1"/>
    <col min="3" max="3" width="140.1640625" style="132" customWidth="1"/>
    <col min="4" max="4" width="16.83203125" style="132" customWidth="1"/>
    <col min="5" max="12" width="9.1640625" style="132"/>
    <col min="13" max="14" width="9.5" style="132" customWidth="1"/>
    <col min="15" max="15" width="5.33203125" style="132" customWidth="1"/>
    <col min="16" max="16384" width="9.1640625" style="132"/>
  </cols>
  <sheetData>
    <row r="1" spans="2:18" ht="9" customHeight="1" thickBot="1"/>
    <row r="2" spans="2:18" ht="30" customHeight="1">
      <c r="B2" s="197" t="s">
        <v>153</v>
      </c>
      <c r="C2" s="198" t="s">
        <v>361</v>
      </c>
      <c r="D2" s="199"/>
      <c r="E2" s="127"/>
      <c r="F2" s="127"/>
      <c r="G2" s="127"/>
      <c r="H2" s="127"/>
      <c r="I2" s="127"/>
      <c r="J2" s="127"/>
      <c r="K2" s="127"/>
      <c r="L2" s="127"/>
      <c r="M2" s="127"/>
      <c r="N2" s="127"/>
      <c r="P2" s="125"/>
      <c r="Q2" s="126"/>
      <c r="R2" s="126"/>
    </row>
    <row r="3" spans="2:18" ht="30" customHeight="1">
      <c r="B3" s="281" t="s">
        <v>170</v>
      </c>
      <c r="C3" s="282" t="s">
        <v>521</v>
      </c>
      <c r="D3" s="283"/>
      <c r="E3" s="127"/>
      <c r="F3" s="127"/>
      <c r="G3" s="127"/>
      <c r="H3" s="127"/>
      <c r="I3" s="127"/>
      <c r="J3" s="127"/>
      <c r="K3" s="127"/>
      <c r="L3" s="127"/>
      <c r="M3" s="127"/>
      <c r="N3" s="127"/>
      <c r="P3" s="125"/>
      <c r="Q3" s="126"/>
      <c r="R3" s="126"/>
    </row>
    <row r="4" spans="2:18" ht="60" customHeight="1" thickBot="1">
      <c r="B4" s="878" t="s">
        <v>520</v>
      </c>
      <c r="C4" s="879" t="s">
        <v>519</v>
      </c>
      <c r="D4" s="283"/>
      <c r="E4" s="127"/>
      <c r="F4" s="127"/>
      <c r="G4" s="127"/>
      <c r="H4" s="127"/>
      <c r="I4" s="127"/>
      <c r="J4" s="127"/>
      <c r="K4" s="127"/>
      <c r="L4" s="127"/>
      <c r="M4" s="127"/>
      <c r="N4" s="127"/>
      <c r="P4" s="125"/>
      <c r="Q4" s="126"/>
      <c r="R4" s="126"/>
    </row>
    <row r="5" spans="2:18" ht="30" customHeight="1">
      <c r="B5" s="743" t="s">
        <v>433</v>
      </c>
      <c r="C5" s="744" t="s">
        <v>434</v>
      </c>
      <c r="D5" s="200"/>
      <c r="E5" s="127"/>
      <c r="F5" s="127"/>
      <c r="G5" s="127"/>
      <c r="H5" s="127"/>
      <c r="I5" s="127"/>
      <c r="J5" s="127"/>
      <c r="K5" s="127"/>
      <c r="L5" s="127"/>
      <c r="M5" s="127"/>
      <c r="N5" s="127"/>
      <c r="P5" s="126"/>
      <c r="Q5" s="126"/>
      <c r="R5" s="126"/>
    </row>
    <row r="6" spans="2:18" ht="60" customHeight="1">
      <c r="B6" s="526" t="s">
        <v>435</v>
      </c>
      <c r="C6" s="203" t="s">
        <v>436</v>
      </c>
      <c r="D6" s="201"/>
      <c r="E6" s="128"/>
      <c r="F6" s="128"/>
      <c r="G6" s="128"/>
      <c r="H6" s="128"/>
      <c r="I6" s="128"/>
      <c r="J6" s="128"/>
      <c r="K6" s="128"/>
      <c r="L6" s="128"/>
      <c r="M6" s="128"/>
      <c r="N6" s="128"/>
      <c r="P6" s="126"/>
      <c r="Q6" s="126"/>
      <c r="R6" s="126"/>
    </row>
    <row r="7" spans="2:18" ht="60" customHeight="1">
      <c r="B7" s="526" t="s">
        <v>437</v>
      </c>
      <c r="C7" s="203" t="s">
        <v>438</v>
      </c>
      <c r="D7" s="204"/>
      <c r="E7" s="129"/>
      <c r="F7" s="129"/>
      <c r="G7" s="129"/>
      <c r="H7" s="129"/>
      <c r="I7" s="129"/>
      <c r="J7" s="129"/>
      <c r="K7" s="129"/>
      <c r="L7" s="129"/>
      <c r="M7" s="129"/>
      <c r="N7" s="129"/>
      <c r="P7" s="125"/>
      <c r="Q7" s="126"/>
      <c r="R7" s="126"/>
    </row>
    <row r="8" spans="2:18" ht="15.75" customHeight="1">
      <c r="B8" s="526"/>
      <c r="C8" s="203"/>
      <c r="D8" s="204"/>
      <c r="E8" s="129"/>
      <c r="F8" s="129"/>
      <c r="G8" s="129"/>
      <c r="H8" s="129"/>
      <c r="I8" s="129"/>
      <c r="J8" s="129"/>
      <c r="K8" s="129"/>
      <c r="L8" s="129"/>
      <c r="M8" s="129"/>
      <c r="N8" s="129"/>
      <c r="P8" s="125"/>
      <c r="Q8" s="126"/>
      <c r="R8" s="126"/>
    </row>
    <row r="9" spans="2:18" ht="110.25" customHeight="1">
      <c r="B9" s="202" t="s">
        <v>439</v>
      </c>
      <c r="C9" s="203" t="s">
        <v>440</v>
      </c>
      <c r="D9" s="204"/>
      <c r="E9" s="129"/>
      <c r="F9" s="129"/>
      <c r="G9" s="129"/>
      <c r="H9" s="129"/>
      <c r="I9" s="129"/>
      <c r="J9" s="129"/>
      <c r="K9" s="129"/>
      <c r="L9" s="129"/>
      <c r="M9" s="129"/>
      <c r="N9" s="129"/>
      <c r="P9" s="125"/>
      <c r="Q9" s="126"/>
      <c r="R9" s="126"/>
    </row>
    <row r="10" spans="2:18" ht="17">
      <c r="B10" s="202"/>
      <c r="C10" s="731" t="s">
        <v>410</v>
      </c>
      <c r="D10" s="204"/>
      <c r="E10" s="129"/>
      <c r="F10" s="129"/>
      <c r="G10" s="129"/>
      <c r="H10" s="129"/>
      <c r="I10" s="129"/>
      <c r="J10" s="129"/>
      <c r="K10" s="129"/>
      <c r="L10" s="129"/>
      <c r="M10" s="129"/>
      <c r="N10" s="129"/>
      <c r="P10" s="125"/>
      <c r="Q10" s="126"/>
      <c r="R10" s="126"/>
    </row>
    <row r="11" spans="2:18">
      <c r="B11" s="202"/>
      <c r="C11" s="203"/>
      <c r="D11" s="204"/>
      <c r="E11" s="129"/>
      <c r="F11" s="129"/>
      <c r="G11" s="129"/>
      <c r="H11" s="129"/>
      <c r="I11" s="129"/>
      <c r="J11" s="129"/>
      <c r="K11" s="129"/>
      <c r="L11" s="129"/>
      <c r="M11" s="129"/>
      <c r="N11" s="129"/>
      <c r="P11" s="125"/>
      <c r="Q11" s="126"/>
      <c r="R11" s="126"/>
    </row>
    <row r="12" spans="2:18" ht="64.5" customHeight="1">
      <c r="B12" s="208" t="s">
        <v>362</v>
      </c>
      <c r="C12" s="203" t="s">
        <v>412</v>
      </c>
      <c r="D12" s="204"/>
      <c r="E12" s="129"/>
      <c r="F12" s="129"/>
      <c r="G12" s="129"/>
      <c r="H12" s="129"/>
      <c r="I12" s="129"/>
      <c r="J12" s="129"/>
      <c r="K12" s="129"/>
      <c r="L12" s="129"/>
      <c r="M12" s="129"/>
      <c r="N12" s="129"/>
      <c r="P12" s="125"/>
      <c r="Q12" s="126"/>
      <c r="R12" s="126"/>
    </row>
    <row r="13" spans="2:18" ht="17">
      <c r="B13" s="208"/>
      <c r="C13" s="731" t="s">
        <v>410</v>
      </c>
      <c r="D13" s="204"/>
      <c r="E13" s="129"/>
      <c r="F13" s="129"/>
      <c r="G13" s="129"/>
      <c r="H13" s="129"/>
      <c r="I13" s="129"/>
      <c r="J13" s="129"/>
      <c r="K13" s="129"/>
      <c r="L13" s="129"/>
      <c r="M13" s="129"/>
      <c r="N13" s="129"/>
      <c r="P13" s="125"/>
      <c r="Q13" s="126"/>
      <c r="R13" s="126"/>
    </row>
    <row r="14" spans="2:18" ht="17">
      <c r="B14" s="208"/>
      <c r="C14" s="203" t="s">
        <v>411</v>
      </c>
      <c r="D14" s="204"/>
      <c r="E14" s="129"/>
      <c r="F14" s="129"/>
      <c r="G14" s="129"/>
      <c r="H14" s="129"/>
      <c r="I14" s="129"/>
      <c r="J14" s="129"/>
      <c r="K14" s="129"/>
      <c r="L14" s="129"/>
      <c r="M14" s="129"/>
      <c r="N14" s="129"/>
      <c r="P14" s="125"/>
      <c r="Q14" s="126"/>
      <c r="R14" s="126"/>
    </row>
    <row r="15" spans="2:18">
      <c r="B15" s="205"/>
      <c r="C15" s="206"/>
      <c r="D15" s="207"/>
      <c r="E15" s="130"/>
      <c r="F15" s="130"/>
      <c r="G15" s="130"/>
      <c r="H15" s="130"/>
      <c r="I15" s="130"/>
      <c r="J15" s="130"/>
      <c r="K15" s="130"/>
      <c r="L15" s="130"/>
      <c r="M15" s="130"/>
      <c r="N15" s="130"/>
      <c r="P15" s="126"/>
      <c r="Q15" s="126"/>
      <c r="R15" s="126"/>
    </row>
    <row r="16" spans="2:18" ht="102">
      <c r="B16" s="208" t="s">
        <v>163</v>
      </c>
      <c r="C16" s="280" t="s">
        <v>368</v>
      </c>
      <c r="D16" s="210"/>
      <c r="E16" s="131"/>
      <c r="F16" s="131"/>
      <c r="G16" s="131"/>
      <c r="H16" s="131"/>
      <c r="I16" s="131"/>
      <c r="J16" s="131"/>
      <c r="K16" s="131"/>
      <c r="L16" s="131"/>
      <c r="M16" s="131"/>
      <c r="N16" s="131"/>
      <c r="P16" s="126"/>
      <c r="Q16" s="126"/>
      <c r="R16" s="126"/>
    </row>
    <row r="17" spans="2:18" ht="17">
      <c r="B17" s="208"/>
      <c r="C17" s="209"/>
      <c r="D17" s="527" t="s">
        <v>363</v>
      </c>
      <c r="E17" s="131"/>
      <c r="F17" s="131"/>
      <c r="G17" s="131"/>
      <c r="H17" s="131"/>
      <c r="I17" s="131"/>
      <c r="J17" s="131"/>
      <c r="K17" s="131"/>
      <c r="L17" s="131"/>
      <c r="M17" s="131"/>
      <c r="N17" s="131"/>
      <c r="P17" s="126"/>
      <c r="Q17" s="126"/>
      <c r="R17" s="126"/>
    </row>
    <row r="18" spans="2:18" ht="34">
      <c r="B18" s="208" t="s">
        <v>171</v>
      </c>
      <c r="C18" s="203" t="s">
        <v>293</v>
      </c>
      <c r="D18" s="670" t="s">
        <v>364</v>
      </c>
      <c r="E18" s="131"/>
      <c r="F18" s="131"/>
      <c r="G18" s="131"/>
      <c r="H18" s="131"/>
      <c r="I18" s="131"/>
      <c r="J18" s="131"/>
      <c r="K18" s="131"/>
      <c r="L18" s="131"/>
      <c r="M18" s="131"/>
      <c r="N18" s="131"/>
      <c r="P18" s="126"/>
      <c r="Q18" s="126"/>
      <c r="R18" s="126"/>
    </row>
    <row r="19" spans="2:18" ht="30" customHeight="1">
      <c r="B19" s="208"/>
      <c r="C19" s="284" t="s">
        <v>164</v>
      </c>
      <c r="D19" s="528" t="s">
        <v>365</v>
      </c>
      <c r="E19" s="130"/>
      <c r="F19" s="130"/>
      <c r="G19" s="130"/>
      <c r="H19" s="130"/>
      <c r="I19" s="130"/>
      <c r="J19" s="130"/>
      <c r="K19" s="130"/>
      <c r="L19" s="130"/>
      <c r="M19" s="130"/>
      <c r="N19" s="130"/>
      <c r="P19" s="126"/>
      <c r="Q19" s="126"/>
      <c r="R19" s="126"/>
    </row>
    <row r="20" spans="2:18" ht="30" customHeight="1">
      <c r="B20" s="208"/>
      <c r="C20" s="285" t="s">
        <v>172</v>
      </c>
      <c r="D20" s="529"/>
      <c r="E20" s="131"/>
      <c r="F20" s="131"/>
      <c r="G20" s="131"/>
      <c r="H20" s="131"/>
      <c r="I20" s="131"/>
      <c r="J20" s="131"/>
      <c r="K20" s="131"/>
      <c r="L20" s="131"/>
      <c r="M20" s="131"/>
      <c r="N20" s="131"/>
      <c r="P20" s="125"/>
      <c r="Q20" s="126"/>
      <c r="R20" s="126"/>
    </row>
    <row r="21" spans="2:18" ht="30" customHeight="1">
      <c r="B21" s="208"/>
      <c r="C21" s="285" t="s">
        <v>294</v>
      </c>
      <c r="D21" s="530"/>
      <c r="E21" s="133"/>
      <c r="F21" s="133"/>
      <c r="G21" s="133"/>
      <c r="H21" s="133"/>
      <c r="I21" s="133"/>
      <c r="J21" s="133"/>
      <c r="K21" s="133"/>
      <c r="L21" s="133"/>
      <c r="M21" s="133"/>
      <c r="N21" s="133"/>
      <c r="P21" s="126"/>
      <c r="Q21" s="126"/>
      <c r="R21" s="126"/>
    </row>
    <row r="22" spans="2:18" ht="30" customHeight="1">
      <c r="B22" s="208"/>
      <c r="C22" s="284" t="s">
        <v>295</v>
      </c>
      <c r="D22" s="531" t="s">
        <v>366</v>
      </c>
      <c r="E22" s="134"/>
      <c r="F22" s="134"/>
      <c r="G22" s="134"/>
      <c r="H22" s="134"/>
      <c r="I22" s="134"/>
      <c r="J22" s="134"/>
      <c r="K22" s="134"/>
      <c r="L22" s="134"/>
      <c r="M22" s="134"/>
      <c r="N22" s="134"/>
    </row>
    <row r="23" spans="2:18" ht="51">
      <c r="B23" s="208"/>
      <c r="C23" s="285" t="s">
        <v>296</v>
      </c>
      <c r="D23" s="532" t="s">
        <v>7</v>
      </c>
      <c r="E23" s="133"/>
      <c r="F23" s="133"/>
      <c r="G23" s="133"/>
      <c r="H23" s="133"/>
      <c r="I23" s="133"/>
      <c r="J23" s="133"/>
      <c r="K23" s="133"/>
      <c r="L23" s="133"/>
      <c r="M23" s="133"/>
      <c r="N23" s="133"/>
    </row>
    <row r="24" spans="2:18">
      <c r="B24" s="208"/>
      <c r="C24" s="211"/>
      <c r="D24" s="210"/>
      <c r="E24" s="133"/>
      <c r="F24" s="133"/>
      <c r="G24" s="133"/>
      <c r="H24" s="133"/>
      <c r="I24" s="133"/>
      <c r="J24" s="133"/>
      <c r="K24" s="133"/>
      <c r="L24" s="133"/>
      <c r="M24" s="133"/>
      <c r="N24" s="133"/>
    </row>
    <row r="25" spans="2:18" ht="153">
      <c r="B25" s="208" t="s">
        <v>236</v>
      </c>
      <c r="C25" s="209" t="s">
        <v>367</v>
      </c>
      <c r="D25" s="210"/>
      <c r="E25" s="131"/>
      <c r="F25" s="131"/>
      <c r="G25" s="131"/>
      <c r="H25" s="131"/>
      <c r="I25" s="131"/>
      <c r="J25" s="131"/>
      <c r="K25" s="131"/>
      <c r="L25" s="131"/>
      <c r="M25" s="131"/>
      <c r="N25" s="131"/>
    </row>
    <row r="26" spans="2:18">
      <c r="B26" s="208"/>
      <c r="C26" s="209"/>
      <c r="D26" s="210"/>
      <c r="E26" s="131"/>
      <c r="F26" s="131"/>
      <c r="G26" s="131"/>
      <c r="H26" s="131"/>
      <c r="I26" s="131"/>
      <c r="J26" s="131"/>
      <c r="K26" s="131"/>
      <c r="L26" s="131"/>
      <c r="M26" s="131"/>
      <c r="N26" s="131"/>
    </row>
    <row r="27" spans="2:18" ht="85">
      <c r="B27" s="208" t="s">
        <v>237</v>
      </c>
      <c r="C27" s="280" t="s">
        <v>297</v>
      </c>
      <c r="D27" s="212"/>
      <c r="E27" s="135"/>
      <c r="F27" s="135"/>
      <c r="G27" s="135"/>
      <c r="H27" s="135"/>
      <c r="I27" s="135"/>
      <c r="J27" s="135"/>
      <c r="K27" s="135"/>
      <c r="L27" s="135"/>
      <c r="M27" s="135"/>
      <c r="N27" s="135"/>
    </row>
    <row r="28" spans="2:18">
      <c r="B28" s="208"/>
      <c r="C28" s="280"/>
      <c r="D28" s="212"/>
      <c r="E28" s="135"/>
      <c r="F28" s="135"/>
      <c r="G28" s="135"/>
      <c r="H28" s="135"/>
      <c r="I28" s="135"/>
      <c r="J28" s="135"/>
      <c r="K28" s="135"/>
      <c r="L28" s="135"/>
      <c r="M28" s="135"/>
      <c r="N28" s="135"/>
    </row>
    <row r="29" spans="2:18" ht="34">
      <c r="B29" s="679" t="s">
        <v>381</v>
      </c>
      <c r="C29" s="285" t="s">
        <v>382</v>
      </c>
      <c r="D29" s="212"/>
      <c r="E29" s="135"/>
      <c r="F29" s="135"/>
      <c r="G29" s="135"/>
      <c r="H29" s="135"/>
      <c r="I29" s="135"/>
      <c r="J29" s="135"/>
      <c r="K29" s="135"/>
      <c r="L29" s="135"/>
      <c r="M29" s="135"/>
      <c r="N29" s="135"/>
    </row>
    <row r="30" spans="2:18" ht="34">
      <c r="B30" s="739" t="s">
        <v>424</v>
      </c>
      <c r="C30" s="285" t="s">
        <v>425</v>
      </c>
      <c r="D30" s="212"/>
      <c r="E30" s="135"/>
      <c r="F30" s="135"/>
      <c r="G30" s="135"/>
      <c r="H30" s="135"/>
      <c r="I30" s="135"/>
      <c r="J30" s="135"/>
      <c r="K30" s="135"/>
      <c r="L30" s="135"/>
      <c r="M30" s="135"/>
      <c r="N30" s="135"/>
    </row>
    <row r="31" spans="2:18">
      <c r="B31" s="739"/>
      <c r="C31" s="680" t="s">
        <v>426</v>
      </c>
      <c r="D31" s="212"/>
      <c r="E31" s="135"/>
      <c r="F31" s="135"/>
      <c r="G31" s="135"/>
      <c r="H31" s="135"/>
      <c r="I31" s="135"/>
      <c r="J31" s="135"/>
      <c r="K31" s="135"/>
      <c r="L31" s="135"/>
      <c r="M31" s="135"/>
      <c r="N31" s="135"/>
    </row>
    <row r="32" spans="2:18">
      <c r="B32" s="205" t="s">
        <v>383</v>
      </c>
      <c r="C32" s="680" t="s">
        <v>378</v>
      </c>
      <c r="D32" s="212"/>
      <c r="E32" s="135"/>
      <c r="F32" s="135"/>
      <c r="G32" s="135"/>
      <c r="H32" s="135"/>
      <c r="I32" s="135"/>
      <c r="J32" s="135"/>
      <c r="K32" s="135"/>
      <c r="L32" s="135"/>
      <c r="M32" s="135"/>
      <c r="N32" s="135"/>
    </row>
    <row r="33" spans="2:14">
      <c r="B33" s="205" t="s">
        <v>384</v>
      </c>
      <c r="C33" s="680" t="s">
        <v>379</v>
      </c>
      <c r="D33" s="212"/>
      <c r="E33" s="135"/>
      <c r="F33" s="135"/>
      <c r="G33" s="135"/>
      <c r="H33" s="135"/>
      <c r="I33" s="135"/>
      <c r="J33" s="135"/>
      <c r="K33" s="135"/>
      <c r="L33" s="135"/>
      <c r="M33" s="135"/>
      <c r="N33" s="135"/>
    </row>
    <row r="34" spans="2:14">
      <c r="B34" s="205" t="s">
        <v>385</v>
      </c>
      <c r="C34" s="680" t="s">
        <v>380</v>
      </c>
      <c r="D34" s="212"/>
      <c r="E34" s="135"/>
      <c r="F34" s="135"/>
      <c r="G34" s="135"/>
      <c r="H34" s="135"/>
      <c r="I34" s="135"/>
      <c r="J34" s="135"/>
      <c r="K34" s="135"/>
      <c r="L34" s="135"/>
      <c r="M34" s="135"/>
      <c r="N34" s="135"/>
    </row>
    <row r="35" spans="2:14">
      <c r="B35" s="208"/>
      <c r="C35" s="280"/>
      <c r="D35" s="212"/>
      <c r="E35" s="135"/>
      <c r="F35" s="135"/>
      <c r="G35" s="135"/>
      <c r="H35" s="135"/>
      <c r="I35" s="135"/>
      <c r="J35" s="135"/>
      <c r="K35" s="135"/>
      <c r="L35" s="135"/>
      <c r="M35" s="135"/>
      <c r="N35" s="135"/>
    </row>
    <row r="36" spans="2:14" ht="64.5" customHeight="1">
      <c r="B36" s="208" t="s">
        <v>421</v>
      </c>
      <c r="C36" s="209" t="s">
        <v>422</v>
      </c>
      <c r="D36" s="212"/>
      <c r="E36" s="135"/>
      <c r="F36" s="135"/>
      <c r="G36" s="135"/>
      <c r="H36" s="135"/>
      <c r="I36" s="135"/>
      <c r="J36" s="135"/>
      <c r="K36" s="135"/>
      <c r="L36" s="135"/>
      <c r="M36" s="135"/>
      <c r="N36" s="135"/>
    </row>
    <row r="37" spans="2:14" ht="17">
      <c r="B37" s="208"/>
      <c r="C37" s="732" t="s">
        <v>413</v>
      </c>
      <c r="D37" s="212"/>
      <c r="E37" s="135"/>
      <c r="F37" s="135"/>
      <c r="G37" s="135"/>
      <c r="H37" s="135"/>
      <c r="I37" s="135"/>
      <c r="J37" s="135"/>
      <c r="K37" s="135"/>
      <c r="L37" s="135"/>
      <c r="M37" s="135"/>
      <c r="N37" s="135"/>
    </row>
    <row r="38" spans="2:14" ht="17">
      <c r="B38" s="208"/>
      <c r="C38" s="732" t="s">
        <v>414</v>
      </c>
      <c r="D38" s="212"/>
      <c r="E38" s="135"/>
      <c r="F38" s="135"/>
      <c r="G38" s="135"/>
      <c r="H38" s="135"/>
      <c r="I38" s="135"/>
      <c r="J38" s="135"/>
      <c r="K38" s="135"/>
      <c r="L38" s="135"/>
      <c r="M38" s="135"/>
      <c r="N38" s="135"/>
    </row>
    <row r="39" spans="2:14" ht="17">
      <c r="B39" s="208"/>
      <c r="C39" s="732" t="s">
        <v>415</v>
      </c>
      <c r="D39" s="212"/>
      <c r="E39" s="135"/>
      <c r="F39" s="135"/>
      <c r="G39" s="135"/>
      <c r="H39" s="135"/>
      <c r="I39" s="135"/>
      <c r="J39" s="135"/>
      <c r="K39" s="135"/>
      <c r="L39" s="135"/>
      <c r="M39" s="135"/>
      <c r="N39" s="135"/>
    </row>
    <row r="40" spans="2:14" ht="17">
      <c r="B40" s="208"/>
      <c r="C40" s="732" t="s">
        <v>416</v>
      </c>
      <c r="D40" s="212"/>
      <c r="E40" s="135"/>
      <c r="F40" s="135"/>
      <c r="G40" s="135"/>
      <c r="H40" s="135"/>
      <c r="I40" s="135"/>
      <c r="J40" s="135"/>
      <c r="K40" s="135"/>
      <c r="L40" s="135"/>
      <c r="M40" s="135"/>
      <c r="N40" s="135"/>
    </row>
    <row r="41" spans="2:14" ht="17">
      <c r="B41" s="208"/>
      <c r="C41" s="732" t="s">
        <v>417</v>
      </c>
      <c r="D41" s="212"/>
      <c r="E41" s="135"/>
      <c r="F41" s="135"/>
      <c r="G41" s="135"/>
      <c r="H41" s="135"/>
      <c r="I41" s="135"/>
      <c r="J41" s="135"/>
      <c r="K41" s="135"/>
      <c r="L41" s="135"/>
      <c r="M41" s="135"/>
      <c r="N41" s="135"/>
    </row>
    <row r="42" spans="2:14" ht="17">
      <c r="B42" s="208"/>
      <c r="C42" s="732" t="s">
        <v>418</v>
      </c>
      <c r="D42" s="212"/>
      <c r="E42" s="135"/>
      <c r="F42" s="135"/>
      <c r="G42" s="135"/>
      <c r="H42" s="135"/>
      <c r="I42" s="135"/>
      <c r="J42" s="135"/>
      <c r="K42" s="135"/>
      <c r="L42" s="135"/>
      <c r="M42" s="135"/>
      <c r="N42" s="135"/>
    </row>
    <row r="43" spans="2:14" ht="17">
      <c r="B43" s="208"/>
      <c r="C43" s="732" t="s">
        <v>419</v>
      </c>
      <c r="D43" s="212"/>
      <c r="E43" s="135"/>
      <c r="F43" s="135"/>
      <c r="G43" s="135"/>
      <c r="H43" s="135"/>
      <c r="I43" s="135"/>
      <c r="J43" s="135"/>
      <c r="K43" s="135"/>
      <c r="L43" s="135"/>
      <c r="M43" s="135"/>
      <c r="N43" s="135"/>
    </row>
    <row r="44" spans="2:14" ht="17">
      <c r="B44" s="208"/>
      <c r="C44" s="732" t="s">
        <v>420</v>
      </c>
      <c r="D44" s="212"/>
      <c r="E44" s="135"/>
      <c r="F44" s="135"/>
      <c r="G44" s="135"/>
      <c r="H44" s="135"/>
      <c r="I44" s="135"/>
      <c r="J44" s="135"/>
      <c r="K44" s="135"/>
      <c r="L44" s="135"/>
      <c r="M44" s="135"/>
      <c r="N44" s="135"/>
    </row>
    <row r="45" spans="2:14" ht="17" thickBot="1">
      <c r="B45" s="213"/>
      <c r="C45" s="214"/>
      <c r="D45" s="215"/>
      <c r="E45" s="130"/>
      <c r="F45" s="130"/>
      <c r="G45" s="130"/>
      <c r="H45" s="130"/>
      <c r="I45" s="130"/>
      <c r="J45" s="130"/>
      <c r="K45" s="130"/>
      <c r="L45" s="130"/>
      <c r="M45" s="130"/>
      <c r="N45" s="130"/>
    </row>
  </sheetData>
  <sheetProtection password="8195" sheet="1" objects="1" scenarios="1"/>
  <hyperlinks>
    <hyperlink ref="C32" r:id="rId1" xr:uid="{00000000-0004-0000-0000-000000000000}"/>
    <hyperlink ref="C33" r:id="rId2" xr:uid="{00000000-0004-0000-0000-000001000000}"/>
    <hyperlink ref="C34" r:id="rId3" xr:uid="{00000000-0004-0000-0000-000002000000}"/>
    <hyperlink ref="C10" r:id="rId4" xr:uid="{00000000-0004-0000-0000-000003000000}"/>
    <hyperlink ref="C13" r:id="rId5" xr:uid="{00000000-0004-0000-0000-000004000000}"/>
    <hyperlink ref="C31" r:id="rId6" xr:uid="{00000000-0004-0000-0000-000005000000}"/>
  </hyperlinks>
  <pageMargins left="0.7" right="0.7" top="0.75" bottom="0.75" header="0.3" footer="0.3"/>
  <pageSetup scale="54" orientation="portrait" horizontalDpi="4294967293" verticalDpi="0"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147"/>
  <sheetViews>
    <sheetView showGridLines="0" zoomScale="70" zoomScaleNormal="70" workbookViewId="0">
      <pane ySplit="4" topLeftCell="A5" activePane="bottomLeft" state="frozen"/>
      <selection pane="bottomLeft" activeCell="AB113" sqref="AB113"/>
    </sheetView>
  </sheetViews>
  <sheetFormatPr baseColWidth="10" defaultColWidth="9.1640625" defaultRowHeight="16"/>
  <cols>
    <col min="1" max="1" width="1.6640625" style="1" customWidth="1"/>
    <col min="2" max="2" width="1" style="1" customWidth="1"/>
    <col min="3" max="3" width="7.6640625" style="1" customWidth="1"/>
    <col min="4" max="4" width="1" style="1" customWidth="1"/>
    <col min="5" max="5" width="75.33203125" style="1" customWidth="1"/>
    <col min="6" max="6" width="13.5" style="812" customWidth="1"/>
    <col min="7" max="7" width="22.33203125" style="1" bestFit="1" customWidth="1"/>
    <col min="8" max="8" width="0.83203125" style="1" customWidth="1"/>
    <col min="9" max="9" width="7.5" style="1" customWidth="1"/>
    <col min="10" max="11" width="1.83203125" style="1" customWidth="1"/>
    <col min="12" max="12" width="1.1640625" style="1" customWidth="1"/>
    <col min="13" max="13" width="8.33203125" style="1" customWidth="1"/>
    <col min="14" max="14" width="1" style="1" customWidth="1"/>
    <col min="15" max="15" width="55.5" style="1" customWidth="1"/>
    <col min="16" max="16" width="19" style="812" customWidth="1"/>
    <col min="17" max="17" width="24.33203125" style="1" customWidth="1"/>
    <col min="18" max="18" width="0.83203125" style="1" customWidth="1"/>
    <col min="19" max="19" width="7.6640625" style="1" customWidth="1"/>
    <col min="20" max="20" width="11.1640625" style="1" customWidth="1"/>
    <col min="21" max="21" width="19.1640625" style="1" customWidth="1"/>
    <col min="22" max="22" width="24.33203125" style="1" customWidth="1"/>
    <col min="23" max="23" width="19.1640625" style="1" customWidth="1"/>
    <col min="24" max="24" width="0.83203125" style="1" customWidth="1"/>
    <col min="25" max="16384" width="9.1640625" style="1"/>
  </cols>
  <sheetData>
    <row r="1" spans="1:25" ht="7.5" customHeight="1" thickBot="1">
      <c r="B1" s="74"/>
    </row>
    <row r="2" spans="1:25" s="299" customFormat="1" ht="30" customHeight="1" thickBot="1">
      <c r="B2" s="678"/>
      <c r="C2" s="882" t="s">
        <v>213</v>
      </c>
      <c r="D2" s="882"/>
      <c r="E2" s="882"/>
      <c r="F2" s="882"/>
      <c r="G2" s="882"/>
      <c r="H2" s="882"/>
      <c r="I2" s="882"/>
      <c r="J2" s="882"/>
      <c r="K2" s="883"/>
      <c r="L2" s="882"/>
      <c r="M2" s="882"/>
      <c r="N2" s="882"/>
      <c r="O2" s="882"/>
      <c r="P2" s="882"/>
      <c r="Q2" s="882"/>
      <c r="R2" s="882"/>
      <c r="S2" s="882"/>
      <c r="T2" s="882"/>
      <c r="U2" s="341"/>
      <c r="V2" s="342"/>
      <c r="W2" s="342"/>
      <c r="X2" s="342"/>
      <c r="Y2" s="343"/>
    </row>
    <row r="3" spans="1:25" ht="7.5" customHeight="1">
      <c r="B3" s="462"/>
      <c r="C3" s="421"/>
      <c r="D3" s="421"/>
      <c r="E3" s="421"/>
      <c r="F3" s="813"/>
      <c r="G3" s="421"/>
      <c r="H3" s="421"/>
      <c r="I3" s="421"/>
      <c r="J3" s="422"/>
      <c r="K3" s="421"/>
      <c r="L3" s="313"/>
      <c r="M3" s="421"/>
      <c r="N3" s="421"/>
      <c r="O3" s="421"/>
      <c r="P3" s="813"/>
      <c r="Q3" s="421"/>
      <c r="R3" s="421"/>
      <c r="S3" s="421"/>
      <c r="T3" s="421"/>
      <c r="U3" s="421"/>
      <c r="V3" s="314"/>
      <c r="W3" s="314"/>
      <c r="X3" s="314"/>
      <c r="Y3" s="317"/>
    </row>
    <row r="4" spans="1:25" ht="19" thickBot="1">
      <c r="B4" s="455"/>
      <c r="C4" s="401" t="s">
        <v>18</v>
      </c>
      <c r="D4" s="423"/>
      <c r="E4" s="477"/>
      <c r="F4" s="814"/>
      <c r="G4" s="477"/>
      <c r="H4" s="461"/>
      <c r="I4" s="662" t="s">
        <v>17</v>
      </c>
      <c r="J4" s="424"/>
      <c r="K4" s="478"/>
      <c r="L4" s="425"/>
      <c r="M4" s="401" t="s">
        <v>18</v>
      </c>
      <c r="N4" s="478"/>
      <c r="O4" s="884" t="s">
        <v>13</v>
      </c>
      <c r="P4" s="884"/>
      <c r="Q4" s="666"/>
      <c r="R4" s="478"/>
      <c r="S4" s="401" t="s">
        <v>17</v>
      </c>
      <c r="T4" s="392"/>
      <c r="U4" s="423"/>
      <c r="V4" s="477"/>
      <c r="W4" s="477"/>
      <c r="X4" s="477"/>
      <c r="Y4" s="479"/>
    </row>
    <row r="5" spans="1:25" ht="17" thickBot="1">
      <c r="B5" s="462"/>
      <c r="C5" s="314"/>
      <c r="D5" s="314"/>
      <c r="E5" s="2" t="s">
        <v>14</v>
      </c>
      <c r="F5" s="359" t="s">
        <v>264</v>
      </c>
      <c r="G5" s="408" t="s">
        <v>301</v>
      </c>
      <c r="H5" s="663"/>
      <c r="I5" s="664"/>
      <c r="J5" s="665"/>
      <c r="K5" s="8"/>
      <c r="L5" s="462"/>
      <c r="M5" s="314"/>
      <c r="N5" s="314"/>
      <c r="O5" s="2" t="s">
        <v>408</v>
      </c>
      <c r="P5" s="359" t="s">
        <v>264</v>
      </c>
      <c r="Q5" s="408" t="s">
        <v>301</v>
      </c>
      <c r="R5" s="314"/>
      <c r="S5" s="314"/>
      <c r="T5" s="314"/>
      <c r="U5" s="314"/>
      <c r="V5" s="314"/>
      <c r="W5" s="314"/>
      <c r="X5" s="314"/>
      <c r="Y5" s="317"/>
    </row>
    <row r="6" spans="1:25">
      <c r="B6" s="490"/>
      <c r="C6" s="477"/>
      <c r="D6" s="477"/>
      <c r="E6" s="559" t="s">
        <v>504</v>
      </c>
      <c r="F6" s="551" t="s">
        <v>307</v>
      </c>
      <c r="G6" s="560">
        <v>15</v>
      </c>
      <c r="H6" s="426"/>
      <c r="I6" s="481" t="s">
        <v>7</v>
      </c>
      <c r="J6" s="482"/>
      <c r="K6" s="8"/>
      <c r="L6" s="490"/>
      <c r="M6" s="372"/>
      <c r="N6" s="477">
        <f>IF(OR(Q6&lt;=0,Q6&gt;G17),1,0)</f>
        <v>0</v>
      </c>
      <c r="O6" s="559" t="s">
        <v>445</v>
      </c>
      <c r="P6" s="551" t="s">
        <v>4</v>
      </c>
      <c r="Q6" s="598">
        <v>20</v>
      </c>
      <c r="R6" s="484"/>
      <c r="S6" s="481" t="s">
        <v>7</v>
      </c>
      <c r="T6" s="355"/>
      <c r="U6" s="477"/>
      <c r="V6" s="477"/>
      <c r="W6" s="477"/>
      <c r="X6" s="477"/>
      <c r="Y6" s="479"/>
    </row>
    <row r="7" spans="1:25">
      <c r="B7" s="490"/>
      <c r="C7" s="466"/>
      <c r="D7" s="477">
        <f>IF(OR(G7&lt;=0,G7&gt;1),1,0)</f>
        <v>0</v>
      </c>
      <c r="E7" s="561" t="s">
        <v>239</v>
      </c>
      <c r="F7" s="469" t="s">
        <v>1</v>
      </c>
      <c r="G7" s="562">
        <v>0.85499999999999998</v>
      </c>
      <c r="H7" s="483"/>
      <c r="I7" s="481" t="s">
        <v>7</v>
      </c>
      <c r="J7" s="482"/>
      <c r="K7" s="8"/>
      <c r="L7" s="490"/>
      <c r="M7" s="334"/>
      <c r="N7" s="477"/>
      <c r="O7" s="533" t="s">
        <v>174</v>
      </c>
      <c r="P7" s="469" t="s">
        <v>1</v>
      </c>
      <c r="Q7" s="562">
        <v>0</v>
      </c>
      <c r="R7" s="483"/>
      <c r="S7" s="481" t="s">
        <v>7</v>
      </c>
      <c r="T7" s="355"/>
      <c r="U7" s="477"/>
      <c r="V7" s="477"/>
      <c r="W7" s="477"/>
      <c r="X7" s="477"/>
      <c r="Y7" s="479"/>
    </row>
    <row r="8" spans="1:25" ht="17" thickBot="1">
      <c r="A8" s="411"/>
      <c r="B8" s="490"/>
      <c r="C8" s="477"/>
      <c r="D8" s="477"/>
      <c r="E8" s="563" t="s">
        <v>247</v>
      </c>
      <c r="F8" s="564" t="s">
        <v>2</v>
      </c>
      <c r="G8" s="565">
        <f>'Cash Flow'!G220</f>
        <v>112347000</v>
      </c>
      <c r="H8" s="427"/>
      <c r="I8" s="481" t="s">
        <v>7</v>
      </c>
      <c r="J8" s="482"/>
      <c r="K8" s="412"/>
      <c r="L8" s="490"/>
      <c r="M8" s="333"/>
      <c r="N8" s="477"/>
      <c r="O8" s="617" t="s">
        <v>409</v>
      </c>
      <c r="P8" s="538" t="s">
        <v>1</v>
      </c>
      <c r="Q8" s="569">
        <v>0</v>
      </c>
      <c r="R8" s="483"/>
      <c r="S8" s="481" t="s">
        <v>7</v>
      </c>
      <c r="T8" s="355"/>
      <c r="U8" s="478"/>
      <c r="V8" s="477"/>
      <c r="W8" s="477"/>
      <c r="X8" s="477"/>
      <c r="Y8" s="479"/>
    </row>
    <row r="9" spans="1:25" ht="17" thickBot="1">
      <c r="B9" s="490"/>
      <c r="C9" s="477"/>
      <c r="D9" s="477"/>
      <c r="E9" s="566" t="s">
        <v>303</v>
      </c>
      <c r="F9" s="815"/>
      <c r="G9" s="567" t="s">
        <v>377</v>
      </c>
      <c r="H9" s="427"/>
      <c r="I9" s="481" t="s">
        <v>7</v>
      </c>
      <c r="J9" s="482"/>
      <c r="K9" s="8"/>
      <c r="L9" s="425"/>
      <c r="M9" s="478"/>
      <c r="N9" s="478"/>
      <c r="O9" s="478"/>
      <c r="P9" s="814"/>
      <c r="Q9" s="478"/>
      <c r="R9" s="478"/>
      <c r="S9" s="478"/>
      <c r="T9" s="478"/>
      <c r="U9" s="223"/>
      <c r="V9" s="223"/>
      <c r="W9" s="223"/>
      <c r="X9" s="477"/>
      <c r="Y9" s="479"/>
    </row>
    <row r="10" spans="1:25" ht="17" thickBot="1">
      <c r="B10" s="490"/>
      <c r="C10" s="371"/>
      <c r="D10" s="477">
        <f>IF(OR(G10&lt;0,G10&gt;1),1,0)</f>
        <v>0</v>
      </c>
      <c r="E10" s="568" t="s">
        <v>330</v>
      </c>
      <c r="F10" s="469" t="s">
        <v>1</v>
      </c>
      <c r="G10" s="562">
        <v>5.0000000000000001E-3</v>
      </c>
      <c r="H10" s="483"/>
      <c r="I10" s="481" t="s">
        <v>7</v>
      </c>
      <c r="J10" s="482"/>
      <c r="K10" s="8"/>
      <c r="L10" s="425"/>
      <c r="M10" s="477"/>
      <c r="N10" s="477"/>
      <c r="O10" s="2" t="s">
        <v>427</v>
      </c>
      <c r="P10" s="3"/>
      <c r="Q10" s="4"/>
      <c r="R10" s="478"/>
      <c r="S10" s="481" t="s">
        <v>7</v>
      </c>
      <c r="T10" s="196"/>
      <c r="U10" s="218"/>
      <c r="V10" s="218"/>
      <c r="W10" s="218"/>
      <c r="X10" s="477"/>
      <c r="Y10" s="479"/>
    </row>
    <row r="11" spans="1:25" ht="20" thickBot="1">
      <c r="B11" s="490"/>
      <c r="C11" s="477"/>
      <c r="D11" s="477"/>
      <c r="E11" s="740" t="str">
        <f>IF(G9="Year-by-Year","Click to enter year by year resource and production degradation","")</f>
        <v/>
      </c>
      <c r="F11" s="538"/>
      <c r="G11" s="569"/>
      <c r="H11" s="483"/>
      <c r="I11" s="481" t="s">
        <v>7</v>
      </c>
      <c r="J11" s="482"/>
      <c r="K11" s="8"/>
      <c r="L11" s="425"/>
      <c r="M11" s="371"/>
      <c r="N11" s="477"/>
      <c r="O11" s="618" t="s">
        <v>224</v>
      </c>
      <c r="P11" s="838"/>
      <c r="Q11" s="619" t="s">
        <v>287</v>
      </c>
      <c r="R11" s="477"/>
      <c r="S11" s="357" t="s">
        <v>7</v>
      </c>
      <c r="T11" s="358">
        <f>IF(Q6&lt;G17,1,0)</f>
        <v>1</v>
      </c>
      <c r="U11" s="477"/>
      <c r="V11" s="477"/>
      <c r="W11" s="477"/>
      <c r="X11" s="477"/>
      <c r="Y11" s="479"/>
    </row>
    <row r="12" spans="1:25">
      <c r="B12" s="490"/>
      <c r="C12" s="477"/>
      <c r="D12" s="475"/>
      <c r="E12" s="550" t="s">
        <v>304</v>
      </c>
      <c r="F12" s="570" t="s">
        <v>305</v>
      </c>
      <c r="G12" s="571">
        <v>0.95</v>
      </c>
      <c r="H12" s="427"/>
      <c r="I12" s="481" t="s">
        <v>7</v>
      </c>
      <c r="J12" s="482"/>
      <c r="K12" s="8"/>
      <c r="L12" s="425"/>
      <c r="M12" s="371"/>
      <c r="N12" s="477">
        <f>IF(OR(Q12&lt;=0,Q12=""),1,0)</f>
        <v>0</v>
      </c>
      <c r="O12" s="620" t="s">
        <v>186</v>
      </c>
      <c r="P12" s="463" t="s">
        <v>48</v>
      </c>
      <c r="Q12" s="621">
        <v>4</v>
      </c>
      <c r="R12" s="477"/>
      <c r="S12" s="357" t="s">
        <v>7</v>
      </c>
      <c r="T12" s="358">
        <f>IF(AND($Q$6&lt;$G$17,$Q$11="Year One"),1,0)</f>
        <v>1</v>
      </c>
      <c r="U12" s="477"/>
      <c r="V12" s="477"/>
      <c r="W12" s="477"/>
      <c r="X12" s="477"/>
      <c r="Y12" s="479"/>
    </row>
    <row r="13" spans="1:25">
      <c r="A13" s="409"/>
      <c r="B13" s="490"/>
      <c r="C13" s="477"/>
      <c r="D13" s="475"/>
      <c r="E13" s="561" t="s">
        <v>306</v>
      </c>
      <c r="F13" s="470" t="s">
        <v>307</v>
      </c>
      <c r="G13" s="572">
        <f>G6/G12</f>
        <v>15.789473684210527</v>
      </c>
      <c r="H13" s="427"/>
      <c r="I13" s="481" t="s">
        <v>7</v>
      </c>
      <c r="J13" s="482"/>
      <c r="K13" s="410"/>
      <c r="L13" s="425"/>
      <c r="M13" s="371"/>
      <c r="N13" s="477">
        <f>IF(OR(Q13&lt;=0,Q13=""),1,0)</f>
        <v>0</v>
      </c>
      <c r="O13" s="622" t="s">
        <v>187</v>
      </c>
      <c r="P13" s="356" t="s">
        <v>1</v>
      </c>
      <c r="Q13" s="623">
        <v>0.02</v>
      </c>
      <c r="R13" s="477"/>
      <c r="S13" s="370" t="s">
        <v>7</v>
      </c>
      <c r="T13" s="358">
        <f>IF(AND($Q$6&lt;$G$17,$Q$11="Year One"),1,0)</f>
        <v>1</v>
      </c>
      <c r="U13" s="477"/>
      <c r="V13" s="477"/>
      <c r="W13" s="477"/>
      <c r="X13" s="477"/>
      <c r="Y13" s="479"/>
    </row>
    <row r="14" spans="1:25" ht="17" thickBot="1">
      <c r="A14" s="409"/>
      <c r="B14" s="490"/>
      <c r="C14" s="477"/>
      <c r="D14" s="475"/>
      <c r="E14" s="573" t="s">
        <v>308</v>
      </c>
      <c r="F14" s="816"/>
      <c r="G14" s="574" t="s">
        <v>377</v>
      </c>
      <c r="H14" s="427"/>
      <c r="I14" s="481" t="s">
        <v>7</v>
      </c>
      <c r="J14" s="482"/>
      <c r="K14" s="410"/>
      <c r="L14" s="425"/>
      <c r="M14" s="477"/>
      <c r="N14" s="477"/>
      <c r="O14" s="624" t="str">
        <f>IF(OR($Q$11="Year One",$Q$6=$G$17),"","Click Here for Complex Input Worksheet")</f>
        <v/>
      </c>
      <c r="P14" s="839"/>
      <c r="Q14" s="625"/>
      <c r="R14" s="477"/>
      <c r="S14" s="464" t="s">
        <v>7</v>
      </c>
      <c r="T14" s="358">
        <f>IF(AND($Q$6&lt;$G$17,$Q$11="Year-by-Year"),1,0)</f>
        <v>0</v>
      </c>
      <c r="U14" s="196"/>
      <c r="V14" s="196"/>
      <c r="W14" s="196"/>
      <c r="X14" s="477"/>
      <c r="Y14" s="479"/>
    </row>
    <row r="15" spans="1:25" ht="17" thickBot="1">
      <c r="A15" s="409"/>
      <c r="B15" s="490"/>
      <c r="C15" s="477"/>
      <c r="D15" s="475"/>
      <c r="E15" s="575" t="s">
        <v>309</v>
      </c>
      <c r="F15" s="493" t="s">
        <v>1</v>
      </c>
      <c r="G15" s="576">
        <v>0.03</v>
      </c>
      <c r="H15" s="427"/>
      <c r="I15" s="481" t="s">
        <v>7</v>
      </c>
      <c r="J15" s="482"/>
      <c r="K15" s="410"/>
      <c r="L15" s="425"/>
      <c r="M15" s="477"/>
      <c r="N15" s="477"/>
      <c r="O15" s="477"/>
      <c r="Q15" s="477"/>
      <c r="R15" s="477"/>
      <c r="S15" s="477"/>
      <c r="T15" s="219"/>
      <c r="U15" s="196"/>
      <c r="V15" s="196"/>
      <c r="W15" s="196"/>
      <c r="X15" s="477"/>
      <c r="Y15" s="479"/>
    </row>
    <row r="16" spans="1:25" ht="20" thickBot="1">
      <c r="A16" s="409"/>
      <c r="B16" s="490"/>
      <c r="C16" s="477"/>
      <c r="D16" s="475"/>
      <c r="E16" s="740" t="str">
        <f>IF(G14="Year-by-Year","Click to enter year by year resource and production degradation","")</f>
        <v/>
      </c>
      <c r="F16" s="577"/>
      <c r="G16" s="578"/>
      <c r="H16" s="483"/>
      <c r="I16" s="481" t="s">
        <v>7</v>
      </c>
      <c r="J16" s="482"/>
      <c r="K16" s="410"/>
      <c r="L16" s="490"/>
      <c r="M16" s="477"/>
      <c r="N16" s="477"/>
      <c r="O16" s="428" t="s">
        <v>9</v>
      </c>
      <c r="P16" s="359" t="s">
        <v>264</v>
      </c>
      <c r="Q16" s="408" t="s">
        <v>301</v>
      </c>
      <c r="R16" s="440"/>
      <c r="S16" s="480"/>
      <c r="T16" s="355"/>
      <c r="U16" s="477"/>
      <c r="V16" s="477"/>
      <c r="W16" s="477"/>
      <c r="X16" s="477"/>
      <c r="Y16" s="479"/>
    </row>
    <row r="17" spans="1:25" ht="17" thickBot="1">
      <c r="A17" s="409"/>
      <c r="B17" s="490"/>
      <c r="C17" s="372"/>
      <c r="D17" s="477">
        <f>IF(OR(G17&lt;1,G17&gt;30),1,0)</f>
        <v>0</v>
      </c>
      <c r="E17" s="589" t="s">
        <v>185</v>
      </c>
      <c r="F17" s="588" t="s">
        <v>4</v>
      </c>
      <c r="G17" s="590">
        <v>25</v>
      </c>
      <c r="H17" s="484"/>
      <c r="I17" s="481" t="s">
        <v>7</v>
      </c>
      <c r="J17" s="482"/>
      <c r="K17" s="410"/>
      <c r="L17" s="490"/>
      <c r="M17" s="335"/>
      <c r="N17" s="477"/>
      <c r="O17" s="608" t="s">
        <v>8</v>
      </c>
      <c r="P17" s="588"/>
      <c r="Q17" s="626" t="s">
        <v>518</v>
      </c>
      <c r="R17" s="486"/>
      <c r="S17" s="481" t="s">
        <v>7</v>
      </c>
      <c r="T17" s="355"/>
      <c r="U17" s="477"/>
      <c r="V17" s="477"/>
      <c r="W17" s="477"/>
      <c r="X17" s="477"/>
      <c r="Y17" s="479"/>
    </row>
    <row r="18" spans="1:25" ht="17" thickBot="1">
      <c r="A18" s="409"/>
      <c r="B18" s="490"/>
      <c r="C18" s="477"/>
      <c r="D18" s="477"/>
      <c r="E18" s="477"/>
      <c r="F18" s="452"/>
      <c r="G18" s="484"/>
      <c r="H18" s="484"/>
      <c r="I18" s="485"/>
      <c r="J18" s="482"/>
      <c r="K18" s="410"/>
      <c r="L18" s="490"/>
      <c r="M18" s="338"/>
      <c r="N18" s="477"/>
      <c r="O18" s="438"/>
      <c r="P18" s="827"/>
      <c r="Q18" s="439"/>
      <c r="R18" s="477"/>
      <c r="S18" s="480"/>
      <c r="T18" s="355"/>
      <c r="U18" s="477"/>
      <c r="V18" s="477"/>
      <c r="W18" s="477"/>
      <c r="X18" s="477"/>
      <c r="Y18" s="479"/>
    </row>
    <row r="19" spans="1:25" ht="17" thickBot="1">
      <c r="B19" s="490"/>
      <c r="C19" s="477"/>
      <c r="D19" s="477"/>
      <c r="E19" s="6" t="s">
        <v>471</v>
      </c>
      <c r="F19" s="359" t="s">
        <v>264</v>
      </c>
      <c r="G19" s="408" t="s">
        <v>301</v>
      </c>
      <c r="H19" s="429"/>
      <c r="I19" s="485"/>
      <c r="J19" s="482"/>
      <c r="K19" s="410"/>
      <c r="L19" s="490"/>
      <c r="M19" s="475"/>
      <c r="N19" s="475"/>
      <c r="O19" s="428" t="s">
        <v>347</v>
      </c>
      <c r="P19" s="359" t="s">
        <v>264</v>
      </c>
      <c r="Q19" s="408" t="s">
        <v>301</v>
      </c>
      <c r="R19" s="486"/>
      <c r="S19" s="674"/>
      <c r="T19" s="355"/>
      <c r="U19" s="477"/>
      <c r="V19" s="477"/>
      <c r="W19" s="477"/>
      <c r="X19" s="477"/>
      <c r="Y19" s="479"/>
    </row>
    <row r="20" spans="1:25">
      <c r="B20" s="490"/>
      <c r="C20" s="335"/>
      <c r="D20" s="477"/>
      <c r="E20" s="550" t="s">
        <v>8</v>
      </c>
      <c r="F20" s="551"/>
      <c r="G20" s="581" t="s">
        <v>518</v>
      </c>
      <c r="H20" s="486"/>
      <c r="I20" s="481" t="s">
        <v>7</v>
      </c>
      <c r="J20" s="482"/>
      <c r="K20" s="8"/>
      <c r="L20" s="490"/>
      <c r="M20" s="339"/>
      <c r="N20" s="475"/>
      <c r="O20" s="597" t="s">
        <v>183</v>
      </c>
      <c r="P20" s="551" t="s">
        <v>1</v>
      </c>
      <c r="Q20" s="627">
        <v>0.02</v>
      </c>
      <c r="R20" s="483"/>
      <c r="S20" s="524" t="s">
        <v>7</v>
      </c>
      <c r="T20" s="355"/>
      <c r="U20" s="477"/>
      <c r="V20" s="477"/>
      <c r="W20" s="477"/>
      <c r="X20" s="477"/>
      <c r="Y20" s="479"/>
    </row>
    <row r="21" spans="1:25" ht="17" thickBot="1">
      <c r="B21" s="490"/>
      <c r="C21" s="477"/>
      <c r="D21" s="477"/>
      <c r="E21" s="582" t="s">
        <v>511</v>
      </c>
      <c r="F21" s="583" t="s">
        <v>323</v>
      </c>
      <c r="G21" s="584">
        <v>3200</v>
      </c>
      <c r="H21" s="430"/>
      <c r="I21" s="481" t="s">
        <v>7</v>
      </c>
      <c r="J21" s="431"/>
      <c r="K21" s="412"/>
      <c r="L21" s="490"/>
      <c r="M21" s="371"/>
      <c r="N21" s="475"/>
      <c r="O21" s="533" t="s">
        <v>181</v>
      </c>
      <c r="P21" s="469" t="s">
        <v>25</v>
      </c>
      <c r="Q21" s="535">
        <v>10</v>
      </c>
      <c r="R21" s="484"/>
      <c r="S21" s="481" t="s">
        <v>7</v>
      </c>
      <c r="T21" s="355"/>
      <c r="U21" s="477"/>
      <c r="V21" s="477"/>
      <c r="W21" s="477"/>
      <c r="X21" s="477"/>
      <c r="Y21" s="479"/>
    </row>
    <row r="22" spans="1:25" ht="17" thickBot="1">
      <c r="A22" s="413"/>
      <c r="B22" s="490"/>
      <c r="C22" s="477"/>
      <c r="D22" s="477"/>
      <c r="E22" s="477"/>
      <c r="G22" s="477"/>
      <c r="H22" s="477"/>
      <c r="I22" s="477"/>
      <c r="J22" s="479"/>
      <c r="K22" s="412"/>
      <c r="L22" s="490"/>
      <c r="M22" s="488"/>
      <c r="N22" s="475"/>
      <c r="O22" s="601" t="s">
        <v>182</v>
      </c>
      <c r="P22" s="538" t="s">
        <v>1</v>
      </c>
      <c r="Q22" s="607">
        <v>0.02</v>
      </c>
      <c r="R22" s="489"/>
      <c r="S22" s="481" t="s">
        <v>7</v>
      </c>
      <c r="T22" s="355"/>
      <c r="U22" s="477"/>
      <c r="V22" s="477"/>
      <c r="W22" s="477"/>
      <c r="X22" s="477"/>
      <c r="Y22" s="479"/>
    </row>
    <row r="23" spans="1:25">
      <c r="A23" s="409"/>
      <c r="B23" s="490"/>
      <c r="C23" s="477"/>
      <c r="D23" s="477"/>
      <c r="E23" s="808" t="s">
        <v>311</v>
      </c>
      <c r="F23" s="809"/>
      <c r="G23" s="810"/>
      <c r="H23" s="486"/>
      <c r="I23" s="481" t="s">
        <v>7</v>
      </c>
      <c r="J23" s="482"/>
      <c r="K23" s="412"/>
      <c r="L23" s="490"/>
      <c r="M23" s="338"/>
      <c r="N23" s="475"/>
      <c r="O23" s="628" t="s">
        <v>340</v>
      </c>
      <c r="P23" s="840"/>
      <c r="Q23" s="629"/>
      <c r="R23" s="486"/>
      <c r="S23" s="481"/>
      <c r="T23" s="355"/>
      <c r="U23" s="477"/>
      <c r="V23" s="477"/>
      <c r="W23" s="477"/>
      <c r="X23" s="477"/>
      <c r="Y23" s="479"/>
    </row>
    <row r="24" spans="1:25">
      <c r="A24" s="477"/>
      <c r="B24" s="490"/>
      <c r="C24" s="477"/>
      <c r="D24" s="477"/>
      <c r="E24" s="533" t="s">
        <v>506</v>
      </c>
      <c r="F24" s="487" t="s">
        <v>323</v>
      </c>
      <c r="G24" s="580">
        <v>175</v>
      </c>
      <c r="H24" s="477"/>
      <c r="I24" s="481" t="s">
        <v>7</v>
      </c>
      <c r="J24" s="479"/>
      <c r="K24" s="412"/>
      <c r="L24" s="490"/>
      <c r="M24" s="488"/>
      <c r="N24" s="475"/>
      <c r="O24" s="579" t="s">
        <v>184</v>
      </c>
      <c r="P24" s="470" t="s">
        <v>324</v>
      </c>
      <c r="Q24" s="630">
        <v>2</v>
      </c>
      <c r="R24" s="441"/>
      <c r="S24" s="481" t="s">
        <v>7</v>
      </c>
      <c r="T24" s="355"/>
      <c r="U24" s="477"/>
      <c r="V24" s="477"/>
      <c r="W24" s="477"/>
      <c r="X24" s="477"/>
      <c r="Y24" s="479"/>
    </row>
    <row r="25" spans="1:25" ht="17" thickBot="1">
      <c r="B25" s="490"/>
      <c r="C25" s="477"/>
      <c r="D25" s="477"/>
      <c r="E25" s="735" t="s">
        <v>472</v>
      </c>
      <c r="F25" s="736" t="s">
        <v>1</v>
      </c>
      <c r="G25" s="811">
        <v>0.5</v>
      </c>
      <c r="H25" s="460"/>
      <c r="I25" s="481" t="s">
        <v>7</v>
      </c>
      <c r="J25" s="482"/>
      <c r="K25" s="412"/>
      <c r="L25" s="490"/>
      <c r="M25" s="477"/>
      <c r="N25" s="475"/>
      <c r="O25" s="617" t="s">
        <v>90</v>
      </c>
      <c r="P25" s="587" t="s">
        <v>91</v>
      </c>
      <c r="Q25" s="631">
        <v>1</v>
      </c>
      <c r="R25" s="442"/>
      <c r="S25" s="481" t="s">
        <v>7</v>
      </c>
      <c r="T25" s="355"/>
      <c r="U25" s="477"/>
      <c r="V25" s="477"/>
      <c r="W25" s="477"/>
      <c r="X25" s="477"/>
      <c r="Y25" s="479"/>
    </row>
    <row r="26" spans="1:25">
      <c r="A26" s="411"/>
      <c r="B26" s="490"/>
      <c r="C26" s="477"/>
      <c r="D26" s="477"/>
      <c r="E26" s="579" t="s">
        <v>423</v>
      </c>
      <c r="F26" s="817" t="s">
        <v>312</v>
      </c>
      <c r="G26" s="738">
        <v>1</v>
      </c>
      <c r="H26" s="486">
        <v>4</v>
      </c>
      <c r="I26" s="481" t="s">
        <v>7</v>
      </c>
      <c r="J26" s="482"/>
      <c r="K26" s="412"/>
      <c r="L26" s="490"/>
      <c r="M26" s="338"/>
      <c r="N26" s="477"/>
      <c r="O26" s="628" t="s">
        <v>341</v>
      </c>
      <c r="P26" s="840"/>
      <c r="Q26" s="629"/>
      <c r="R26" s="486"/>
      <c r="S26" s="481"/>
      <c r="T26" s="355"/>
      <c r="U26" s="477"/>
      <c r="V26" s="477"/>
      <c r="W26" s="477"/>
      <c r="X26" s="477"/>
      <c r="Y26" s="479"/>
    </row>
    <row r="27" spans="1:25">
      <c r="A27" s="411"/>
      <c r="B27" s="490"/>
      <c r="C27" s="477"/>
      <c r="D27" s="477"/>
      <c r="E27" s="568" t="s">
        <v>313</v>
      </c>
      <c r="F27" s="817" t="s">
        <v>489</v>
      </c>
      <c r="G27" s="580">
        <v>4000000</v>
      </c>
      <c r="H27" s="486">
        <v>30000</v>
      </c>
      <c r="I27" s="481" t="s">
        <v>7</v>
      </c>
      <c r="J27" s="482"/>
      <c r="K27" s="412"/>
      <c r="L27" s="490"/>
      <c r="M27" s="339"/>
      <c r="N27" s="475"/>
      <c r="O27" s="579" t="s">
        <v>184</v>
      </c>
      <c r="P27" s="470" t="s">
        <v>324</v>
      </c>
      <c r="Q27" s="630">
        <v>2</v>
      </c>
      <c r="R27" s="441"/>
      <c r="S27" s="481" t="s">
        <v>7</v>
      </c>
      <c r="T27" s="355"/>
      <c r="U27" s="477"/>
      <c r="V27" s="477"/>
      <c r="W27" s="477"/>
      <c r="X27" s="477"/>
      <c r="Y27" s="479"/>
    </row>
    <row r="28" spans="1:25" ht="17" thickBot="1">
      <c r="A28" s="411"/>
      <c r="B28" s="490"/>
      <c r="C28" s="477"/>
      <c r="D28" s="477"/>
      <c r="E28" s="568" t="s">
        <v>314</v>
      </c>
      <c r="F28" s="817" t="s">
        <v>0</v>
      </c>
      <c r="G28" s="777">
        <v>750000</v>
      </c>
      <c r="H28" s="486">
        <v>750000</v>
      </c>
      <c r="I28" s="481" t="s">
        <v>7</v>
      </c>
      <c r="J28" s="482"/>
      <c r="K28" s="8"/>
      <c r="L28" s="490"/>
      <c r="M28" s="371"/>
      <c r="N28" s="475"/>
      <c r="O28" s="617" t="s">
        <v>90</v>
      </c>
      <c r="P28" s="587" t="s">
        <v>91</v>
      </c>
      <c r="Q28" s="631">
        <v>2</v>
      </c>
      <c r="R28" s="442"/>
      <c r="S28" s="481" t="s">
        <v>7</v>
      </c>
      <c r="T28" s="355"/>
      <c r="U28" s="477"/>
      <c r="V28" s="477"/>
      <c r="W28" s="477"/>
      <c r="X28" s="477"/>
      <c r="Y28" s="479"/>
    </row>
    <row r="29" spans="1:25">
      <c r="A29" s="411"/>
      <c r="B29" s="490"/>
      <c r="C29" s="477"/>
      <c r="D29" s="477"/>
      <c r="E29" s="533" t="s">
        <v>494</v>
      </c>
      <c r="F29" s="817" t="s">
        <v>323</v>
      </c>
      <c r="G29" s="865">
        <f>((((1/G25)*G27)*G26)+G28)/($G$6*1000)</f>
        <v>583.33333333333337</v>
      </c>
      <c r="H29" s="477"/>
      <c r="I29" s="477"/>
      <c r="J29" s="479"/>
      <c r="K29" s="8"/>
      <c r="L29" s="490"/>
      <c r="M29" s="338"/>
      <c r="N29" s="475"/>
      <c r="O29" s="628" t="s">
        <v>375</v>
      </c>
      <c r="P29" s="840"/>
      <c r="Q29" s="629"/>
      <c r="R29" s="486"/>
      <c r="S29" s="481"/>
      <c r="T29" s="355"/>
      <c r="U29" s="477"/>
      <c r="V29" s="477"/>
      <c r="W29" s="477"/>
      <c r="X29" s="477"/>
      <c r="Y29" s="479"/>
    </row>
    <row r="30" spans="1:25">
      <c r="A30" s="477"/>
      <c r="B30" s="490"/>
      <c r="C30" s="477"/>
      <c r="D30" s="477"/>
      <c r="E30" s="533" t="s">
        <v>490</v>
      </c>
      <c r="F30" s="736" t="s">
        <v>1</v>
      </c>
      <c r="G30" s="801">
        <v>1</v>
      </c>
      <c r="H30" s="477"/>
      <c r="I30" s="481" t="s">
        <v>7</v>
      </c>
      <c r="J30" s="479"/>
      <c r="K30" s="8"/>
      <c r="L30" s="490"/>
      <c r="M30" s="371"/>
      <c r="N30" s="477"/>
      <c r="O30" s="533" t="s">
        <v>59</v>
      </c>
      <c r="P30" s="468" t="s">
        <v>1</v>
      </c>
      <c r="Q30" s="632">
        <v>4.0000000000000001E-3</v>
      </c>
      <c r="R30" s="483"/>
      <c r="S30" s="464" t="s">
        <v>7</v>
      </c>
      <c r="T30" s="355"/>
      <c r="U30" s="477"/>
      <c r="V30" s="477"/>
      <c r="W30" s="477"/>
      <c r="X30" s="477"/>
      <c r="Y30" s="479"/>
    </row>
    <row r="31" spans="1:25">
      <c r="A31" s="411"/>
      <c r="B31" s="490"/>
      <c r="C31" s="477"/>
      <c r="D31" s="477"/>
      <c r="E31" s="806" t="s">
        <v>505</v>
      </c>
      <c r="F31" s="818" t="s">
        <v>0</v>
      </c>
      <c r="G31" s="866">
        <f>IF($G$20="Simple",(G24*G6*1000),IF($G$20="Complex",'Complex Inputs'!$C$25,((((1/G25)*G27)*G26)+G28)))</f>
        <v>8750000</v>
      </c>
      <c r="H31" s="477"/>
      <c r="I31" s="789" t="s">
        <v>7</v>
      </c>
      <c r="J31" s="479"/>
      <c r="K31" s="8"/>
      <c r="L31" s="490"/>
      <c r="M31" s="338"/>
      <c r="N31" s="477"/>
      <c r="O31" s="533" t="s">
        <v>291</v>
      </c>
      <c r="P31" s="469" t="s">
        <v>0</v>
      </c>
      <c r="Q31" s="633">
        <f>$Q$30*IF($G$20="Simple",$G$75,IF($G$20="Intermediate",SUM(G32,G49,G64,G65,G67),G32+SUM('Complex Inputs'!$C$117:$C$119)))</f>
        <v>516248.97381250001</v>
      </c>
      <c r="R31" s="433"/>
      <c r="S31" s="464" t="s">
        <v>7</v>
      </c>
      <c r="T31" s="355"/>
      <c r="U31" s="477"/>
      <c r="V31" s="477"/>
      <c r="W31" s="477"/>
      <c r="X31" s="477"/>
      <c r="Y31" s="479"/>
    </row>
    <row r="32" spans="1:25" ht="17" thickBot="1">
      <c r="A32" s="477"/>
      <c r="B32" s="490"/>
      <c r="C32" s="477"/>
      <c r="D32" s="477"/>
      <c r="E32" s="553" t="s">
        <v>488</v>
      </c>
      <c r="F32" s="867" t="s">
        <v>0</v>
      </c>
      <c r="G32" s="868">
        <f>G31*(1+$G$30)</f>
        <v>17500000</v>
      </c>
      <c r="H32" s="486"/>
      <c r="I32" s="789" t="s">
        <v>7</v>
      </c>
      <c r="J32" s="482"/>
      <c r="K32" s="414"/>
      <c r="L32" s="490"/>
      <c r="M32" s="371"/>
      <c r="N32" s="477"/>
      <c r="O32" s="579" t="s">
        <v>175</v>
      </c>
      <c r="P32" s="468" t="s">
        <v>10</v>
      </c>
      <c r="Q32" s="634">
        <v>50000</v>
      </c>
      <c r="R32" s="443"/>
      <c r="S32" s="464" t="s">
        <v>7</v>
      </c>
      <c r="T32" s="558"/>
      <c r="U32" s="477"/>
      <c r="V32" s="477"/>
      <c r="W32" s="477"/>
      <c r="X32" s="477"/>
      <c r="Y32" s="479"/>
    </row>
    <row r="33" spans="1:25" ht="17" thickBot="1">
      <c r="B33" s="490"/>
      <c r="C33" s="477"/>
      <c r="D33" s="477"/>
      <c r="E33" s="477"/>
      <c r="F33" s="864"/>
      <c r="G33" s="861"/>
      <c r="H33" s="477"/>
      <c r="I33" s="790"/>
      <c r="J33" s="479"/>
      <c r="K33" s="414"/>
      <c r="L33" s="490"/>
      <c r="M33" s="371"/>
      <c r="N33" s="477"/>
      <c r="O33" s="635" t="s">
        <v>217</v>
      </c>
      <c r="P33" s="468" t="s">
        <v>10</v>
      </c>
      <c r="Q33" s="634">
        <v>75000</v>
      </c>
      <c r="R33" s="443"/>
      <c r="S33" s="464" t="s">
        <v>7</v>
      </c>
      <c r="T33" s="355"/>
      <c r="U33" s="477"/>
      <c r="V33" s="477"/>
      <c r="W33" s="477"/>
      <c r="X33" s="477"/>
      <c r="Y33" s="479"/>
    </row>
    <row r="34" spans="1:25" ht="17" thickBot="1">
      <c r="A34" s="413"/>
      <c r="B34" s="490"/>
      <c r="C34" s="477"/>
      <c r="D34" s="461"/>
      <c r="E34" s="6" t="s">
        <v>491</v>
      </c>
      <c r="F34" s="359" t="s">
        <v>264</v>
      </c>
      <c r="G34" s="408" t="s">
        <v>301</v>
      </c>
      <c r="H34" s="429"/>
      <c r="I34" s="481" t="s">
        <v>7</v>
      </c>
      <c r="J34" s="482"/>
      <c r="K34" s="414"/>
      <c r="L34" s="490"/>
      <c r="M34" s="671"/>
      <c r="N34" s="477"/>
      <c r="O34" s="533" t="s">
        <v>216</v>
      </c>
      <c r="P34" s="468" t="s">
        <v>1</v>
      </c>
      <c r="Q34" s="632">
        <v>-0.1</v>
      </c>
      <c r="R34" s="477"/>
      <c r="S34" s="464" t="s">
        <v>7</v>
      </c>
      <c r="T34" s="355"/>
      <c r="U34" s="477"/>
      <c r="V34" s="477"/>
      <c r="W34" s="477"/>
      <c r="X34" s="477"/>
      <c r="Y34" s="479"/>
    </row>
    <row r="35" spans="1:25">
      <c r="A35" s="413"/>
      <c r="B35" s="490"/>
      <c r="C35" s="371"/>
      <c r="D35" s="475">
        <f>IF(OR(G20="Simple",G20="Complex"),1,0)</f>
        <v>0</v>
      </c>
      <c r="E35" s="555" t="s">
        <v>315</v>
      </c>
      <c r="F35" s="819" t="s">
        <v>1</v>
      </c>
      <c r="G35" s="799">
        <v>0.5</v>
      </c>
      <c r="H35" s="486"/>
      <c r="I35" s="481" t="s">
        <v>7</v>
      </c>
      <c r="J35" s="482"/>
      <c r="K35" s="414"/>
      <c r="L35" s="490"/>
      <c r="M35" s="371"/>
      <c r="N35" s="477"/>
      <c r="O35" s="533" t="s">
        <v>348</v>
      </c>
      <c r="P35" s="468" t="s">
        <v>10</v>
      </c>
      <c r="Q35" s="634">
        <v>5000</v>
      </c>
      <c r="R35" s="477"/>
      <c r="S35" s="464" t="s">
        <v>7</v>
      </c>
      <c r="T35" s="477"/>
      <c r="U35" s="477"/>
      <c r="V35" s="477"/>
      <c r="W35" s="477"/>
      <c r="X35" s="477"/>
      <c r="Y35" s="479"/>
    </row>
    <row r="36" spans="1:25">
      <c r="A36" s="413"/>
      <c r="B36" s="490"/>
      <c r="C36" s="477"/>
      <c r="D36" s="475"/>
      <c r="E36" s="533" t="s">
        <v>479</v>
      </c>
      <c r="F36" s="820" t="s">
        <v>312</v>
      </c>
      <c r="G36" s="795">
        <v>2</v>
      </c>
      <c r="H36" s="429">
        <f>IF(OR($G$20="Simple",$G$20="Complex"),1,0)</f>
        <v>0</v>
      </c>
      <c r="I36" s="481" t="s">
        <v>7</v>
      </c>
      <c r="J36" s="482"/>
      <c r="K36" s="414"/>
      <c r="L36" s="490"/>
      <c r="M36" s="371"/>
      <c r="N36" s="477"/>
      <c r="O36" s="568" t="s">
        <v>104</v>
      </c>
      <c r="P36" s="468" t="s">
        <v>1</v>
      </c>
      <c r="Q36" s="632">
        <v>0.03</v>
      </c>
      <c r="R36" s="483"/>
      <c r="S36" s="464" t="s">
        <v>7</v>
      </c>
      <c r="T36" s="355"/>
      <c r="U36" s="477"/>
      <c r="V36" s="477"/>
      <c r="W36" s="477"/>
      <c r="X36" s="477"/>
      <c r="Y36" s="479"/>
    </row>
    <row r="37" spans="1:25" ht="17" thickBot="1">
      <c r="A37" s="413"/>
      <c r="B37" s="490"/>
      <c r="C37" s="371"/>
      <c r="D37" s="475"/>
      <c r="E37" s="533" t="s">
        <v>316</v>
      </c>
      <c r="F37" s="820" t="s">
        <v>0</v>
      </c>
      <c r="G37" s="580">
        <v>3500000</v>
      </c>
      <c r="H37" s="486"/>
      <c r="I37" s="481" t="s">
        <v>7</v>
      </c>
      <c r="J37" s="482"/>
      <c r="K37" s="414"/>
      <c r="L37" s="490"/>
      <c r="M37" s="338"/>
      <c r="N37" s="477"/>
      <c r="O37" s="525" t="s">
        <v>292</v>
      </c>
      <c r="P37" s="538" t="s">
        <v>0</v>
      </c>
      <c r="Q37" s="602">
        <f>-'Cash Flow'!G37</f>
        <v>625211.05500000028</v>
      </c>
      <c r="R37" s="433"/>
      <c r="S37" s="464" t="s">
        <v>7</v>
      </c>
      <c r="T37" s="477"/>
      <c r="U37" s="477"/>
      <c r="V37" s="477"/>
      <c r="W37" s="477"/>
      <c r="X37" s="477"/>
      <c r="Y37" s="479"/>
    </row>
    <row r="38" spans="1:25" ht="17" thickBot="1">
      <c r="A38" s="413"/>
      <c r="B38" s="490"/>
      <c r="C38" s="371"/>
      <c r="D38" s="475"/>
      <c r="E38" s="568" t="s">
        <v>317</v>
      </c>
      <c r="F38" s="820" t="s">
        <v>0</v>
      </c>
      <c r="G38" s="580">
        <v>250000</v>
      </c>
      <c r="H38" s="486"/>
      <c r="I38" s="481" t="s">
        <v>7</v>
      </c>
      <c r="J38" s="482"/>
      <c r="K38" s="414"/>
      <c r="L38" s="490"/>
      <c r="M38" s="477"/>
      <c r="N38" s="477"/>
      <c r="O38" s="477"/>
      <c r="Q38" s="477"/>
      <c r="R38" s="477"/>
      <c r="S38" s="477"/>
      <c r="T38" s="477"/>
      <c r="U38" s="477"/>
      <c r="V38" s="477"/>
      <c r="W38" s="477"/>
      <c r="X38" s="477"/>
      <c r="Y38" s="479"/>
    </row>
    <row r="39" spans="1:25" ht="17" thickBot="1">
      <c r="A39" s="477"/>
      <c r="B39" s="490"/>
      <c r="C39" s="371"/>
      <c r="D39" s="477"/>
      <c r="E39" s="635" t="s">
        <v>477</v>
      </c>
      <c r="F39" s="737" t="s">
        <v>4</v>
      </c>
      <c r="G39" s="535">
        <v>2</v>
      </c>
      <c r="H39" s="477"/>
      <c r="I39" s="481" t="s">
        <v>7</v>
      </c>
      <c r="J39" s="479"/>
      <c r="K39" s="414"/>
      <c r="L39" s="425"/>
      <c r="M39" s="478"/>
      <c r="N39" s="478"/>
      <c r="O39" s="641" t="s">
        <v>342</v>
      </c>
      <c r="P39" s="841"/>
      <c r="Q39" s="643" t="s">
        <v>301</v>
      </c>
      <c r="R39" s="478"/>
      <c r="S39" s="478"/>
      <c r="T39" s="478"/>
      <c r="U39" s="477"/>
      <c r="V39" s="477"/>
      <c r="W39" s="477"/>
      <c r="X39" s="477"/>
      <c r="Y39" s="479"/>
    </row>
    <row r="40" spans="1:25">
      <c r="A40" s="477"/>
      <c r="B40" s="490"/>
      <c r="C40" s="477"/>
      <c r="D40" s="477"/>
      <c r="E40" s="533" t="s">
        <v>501</v>
      </c>
      <c r="F40" s="787" t="s">
        <v>1</v>
      </c>
      <c r="G40" s="801">
        <v>0</v>
      </c>
      <c r="H40" s="477"/>
      <c r="I40" s="481" t="s">
        <v>7</v>
      </c>
      <c r="J40" s="479"/>
      <c r="K40" s="414"/>
      <c r="L40" s="425"/>
      <c r="M40" s="376"/>
      <c r="N40" s="478">
        <f>IF(OR(Q40&lt;1,Q40&gt;$G$17),1,0)</f>
        <v>0</v>
      </c>
      <c r="O40" s="597" t="s">
        <v>370</v>
      </c>
      <c r="P40" s="636" t="s">
        <v>25</v>
      </c>
      <c r="Q40" s="637">
        <v>10</v>
      </c>
      <c r="R40" s="478"/>
      <c r="S40" s="481" t="s">
        <v>7</v>
      </c>
      <c r="T40" s="478"/>
      <c r="U40" s="477"/>
      <c r="V40" s="477"/>
      <c r="W40" s="477"/>
      <c r="X40" s="477"/>
      <c r="Y40" s="479"/>
    </row>
    <row r="41" spans="1:25">
      <c r="A41" s="477"/>
      <c r="B41" s="490"/>
      <c r="C41" s="477"/>
      <c r="D41" s="477"/>
      <c r="E41" s="599" t="s">
        <v>31</v>
      </c>
      <c r="F41" s="469" t="s">
        <v>1</v>
      </c>
      <c r="G41" s="600">
        <v>0</v>
      </c>
      <c r="H41" s="445"/>
      <c r="I41" s="481" t="s">
        <v>7</v>
      </c>
      <c r="J41" s="479"/>
      <c r="K41" s="414"/>
      <c r="L41" s="490"/>
      <c r="M41" s="477"/>
      <c r="N41" s="477"/>
      <c r="O41" s="533" t="s">
        <v>372</v>
      </c>
      <c r="P41" s="640" t="s">
        <v>312</v>
      </c>
      <c r="Q41" s="644">
        <v>1</v>
      </c>
      <c r="R41" s="477"/>
      <c r="S41" s="481" t="s">
        <v>7</v>
      </c>
      <c r="T41" s="477"/>
      <c r="U41" s="477"/>
      <c r="V41" s="477"/>
      <c r="W41" s="477"/>
      <c r="X41" s="477"/>
      <c r="Y41" s="479"/>
    </row>
    <row r="42" spans="1:25">
      <c r="A42" s="477"/>
      <c r="B42" s="490"/>
      <c r="C42" s="477"/>
      <c r="D42" s="477"/>
      <c r="E42" s="533" t="s">
        <v>502</v>
      </c>
      <c r="F42" s="787" t="s">
        <v>1</v>
      </c>
      <c r="G42" s="802">
        <f>1-G40</f>
        <v>1</v>
      </c>
      <c r="H42" s="477"/>
      <c r="I42" s="481" t="s">
        <v>7</v>
      </c>
      <c r="J42" s="479"/>
      <c r="K42" s="414"/>
      <c r="L42" s="425"/>
      <c r="M42" s="488"/>
      <c r="N42" s="478"/>
      <c r="O42" s="599" t="s">
        <v>373</v>
      </c>
      <c r="P42" s="487" t="s">
        <v>0</v>
      </c>
      <c r="Q42" s="645">
        <v>0</v>
      </c>
      <c r="R42" s="478"/>
      <c r="S42" s="481" t="s">
        <v>7</v>
      </c>
      <c r="T42" s="478"/>
      <c r="U42" s="477"/>
      <c r="V42" s="477"/>
      <c r="W42" s="477"/>
      <c r="X42" s="477"/>
      <c r="Y42" s="479"/>
    </row>
    <row r="43" spans="1:25" ht="17" thickBot="1">
      <c r="A43" s="477"/>
      <c r="B43" s="490"/>
      <c r="C43" s="477"/>
      <c r="D43" s="477"/>
      <c r="E43" s="533" t="s">
        <v>492</v>
      </c>
      <c r="F43" s="736" t="s">
        <v>1</v>
      </c>
      <c r="G43" s="801">
        <v>0.3</v>
      </c>
      <c r="H43" s="477"/>
      <c r="I43" s="481" t="s">
        <v>7</v>
      </c>
      <c r="J43" s="479"/>
      <c r="K43" s="414"/>
      <c r="L43" s="490"/>
      <c r="M43" s="477"/>
      <c r="N43" s="475"/>
      <c r="O43" s="575" t="s">
        <v>374</v>
      </c>
      <c r="P43" s="493" t="s">
        <v>310</v>
      </c>
      <c r="Q43" s="646">
        <v>0.05</v>
      </c>
      <c r="R43" s="427"/>
      <c r="S43" s="481" t="s">
        <v>7</v>
      </c>
      <c r="T43" s="355"/>
      <c r="U43" s="477"/>
      <c r="V43" s="477"/>
      <c r="W43" s="477"/>
      <c r="X43" s="477"/>
      <c r="Y43" s="479"/>
    </row>
    <row r="44" spans="1:25">
      <c r="A44" s="477"/>
      <c r="B44" s="490"/>
      <c r="C44" s="477"/>
      <c r="D44" s="477"/>
      <c r="E44" s="805" t="s">
        <v>513</v>
      </c>
      <c r="F44" s="736" t="s">
        <v>1</v>
      </c>
      <c r="G44" s="803">
        <f>(G42*G43)+(G40*G41*(1-Q$109))</f>
        <v>0.3</v>
      </c>
      <c r="H44" s="477"/>
      <c r="I44" s="481" t="s">
        <v>7</v>
      </c>
      <c r="J44" s="479"/>
      <c r="K44" s="414"/>
      <c r="L44" s="425"/>
      <c r="M44" s="376"/>
      <c r="N44" s="478">
        <f>IF(OR(Q44&lt;=Q40,Q44&gt;$G$17),1,0)</f>
        <v>0</v>
      </c>
      <c r="O44" s="597" t="s">
        <v>371</v>
      </c>
      <c r="P44" s="636" t="s">
        <v>25</v>
      </c>
      <c r="Q44" s="637">
        <v>20</v>
      </c>
      <c r="R44" s="478"/>
      <c r="S44" s="481" t="s">
        <v>7</v>
      </c>
      <c r="T44" s="478"/>
      <c r="U44" s="477"/>
      <c r="V44" s="477"/>
      <c r="W44" s="477"/>
      <c r="X44" s="477"/>
      <c r="Y44" s="479"/>
    </row>
    <row r="45" spans="1:25" ht="17" thickBot="1">
      <c r="A45" s="477"/>
      <c r="B45" s="490"/>
      <c r="C45" s="477"/>
      <c r="D45" s="475"/>
      <c r="E45" s="855" t="s">
        <v>476</v>
      </c>
      <c r="F45" s="821"/>
      <c r="G45" s="585">
        <f>(((1/G35)*G36*G37)+G38)+((((1/G35)*G36*G37)+G38)*G44*(G39/2))</f>
        <v>18525000</v>
      </c>
      <c r="H45" s="486"/>
      <c r="I45" s="481" t="s">
        <v>7</v>
      </c>
      <c r="J45" s="482"/>
      <c r="K45" s="414"/>
      <c r="L45" s="490"/>
      <c r="M45" s="477"/>
      <c r="N45" s="477"/>
      <c r="O45" s="533" t="s">
        <v>372</v>
      </c>
      <c r="P45" s="640" t="s">
        <v>312</v>
      </c>
      <c r="Q45" s="644">
        <v>2</v>
      </c>
      <c r="R45" s="477"/>
      <c r="S45" s="481" t="s">
        <v>7</v>
      </c>
      <c r="T45" s="477"/>
      <c r="U45" s="477"/>
      <c r="V45" s="477"/>
      <c r="W45" s="477"/>
      <c r="X45" s="477"/>
      <c r="Y45" s="479"/>
    </row>
    <row r="46" spans="1:25">
      <c r="A46" s="413"/>
      <c r="B46" s="490"/>
      <c r="C46" s="477"/>
      <c r="D46" s="475"/>
      <c r="E46" s="771" t="str">
        <f>IF($G$20="Complex","Click Here for Complex Input Worksheet","")</f>
        <v/>
      </c>
      <c r="F46" s="822"/>
      <c r="G46" s="772"/>
      <c r="H46" s="434">
        <f>IF(OR(G20="Simple",G20="Intermediate"),1,0)</f>
        <v>1</v>
      </c>
      <c r="I46" s="481" t="s">
        <v>7</v>
      </c>
      <c r="J46" s="482"/>
      <c r="K46" s="414"/>
      <c r="L46" s="425"/>
      <c r="M46" s="488"/>
      <c r="N46" s="478"/>
      <c r="O46" s="599" t="s">
        <v>373</v>
      </c>
      <c r="P46" s="487" t="s">
        <v>0</v>
      </c>
      <c r="Q46" s="645">
        <v>0</v>
      </c>
      <c r="R46" s="478"/>
      <c r="S46" s="481" t="s">
        <v>7</v>
      </c>
      <c r="T46" s="478"/>
      <c r="U46" s="477"/>
      <c r="V46" s="477"/>
      <c r="W46" s="477"/>
      <c r="X46" s="477"/>
      <c r="Y46" s="479"/>
    </row>
    <row r="47" spans="1:25" ht="17" thickBot="1">
      <c r="A47" s="413"/>
      <c r="B47" s="490"/>
      <c r="C47" s="477"/>
      <c r="D47" s="477"/>
      <c r="E47" s="773" t="s">
        <v>476</v>
      </c>
      <c r="F47" s="769" t="s">
        <v>0</v>
      </c>
      <c r="G47" s="774" t="str">
        <f>IF(G20="Complex",'Complex Inputs'!C48+('Complex Inputs'!C48*G44*(G39/2)),"")</f>
        <v/>
      </c>
      <c r="H47" s="477"/>
      <c r="I47" s="782" t="s">
        <v>7</v>
      </c>
      <c r="J47" s="479"/>
      <c r="K47" s="414"/>
      <c r="L47" s="490"/>
      <c r="M47" s="477"/>
      <c r="N47" s="475"/>
      <c r="O47" s="563" t="s">
        <v>374</v>
      </c>
      <c r="P47" s="564" t="s">
        <v>310</v>
      </c>
      <c r="Q47" s="638">
        <v>0.08</v>
      </c>
      <c r="R47" s="427"/>
      <c r="S47" s="481" t="s">
        <v>7</v>
      </c>
      <c r="T47" s="355"/>
      <c r="U47" s="477"/>
      <c r="V47" s="477"/>
      <c r="W47" s="477"/>
      <c r="X47" s="477"/>
      <c r="Y47" s="479"/>
    </row>
    <row r="48" spans="1:25" ht="17" thickBot="1">
      <c r="A48" s="413"/>
      <c r="B48" s="490"/>
      <c r="C48" s="477"/>
      <c r="D48" s="477"/>
      <c r="E48" s="792" t="s">
        <v>514</v>
      </c>
      <c r="F48" s="793" t="s">
        <v>323</v>
      </c>
      <c r="G48" s="794">
        <f>IF($G$20="Simple","",IF($G$20="Intermediate",G45/(G6*1000),G47/(G6*1000)))</f>
        <v>1235</v>
      </c>
      <c r="H48" s="477"/>
      <c r="I48" s="477"/>
      <c r="J48" s="479"/>
      <c r="K48" s="478"/>
      <c r="L48" s="490"/>
      <c r="M48" s="477"/>
      <c r="N48" s="477"/>
      <c r="O48" s="477"/>
      <c r="Q48" s="477"/>
      <c r="R48" s="477"/>
      <c r="S48" s="477"/>
      <c r="T48" s="477"/>
      <c r="U48" s="477"/>
      <c r="V48" s="477"/>
      <c r="W48" s="477"/>
      <c r="X48" s="477"/>
      <c r="Y48" s="479"/>
    </row>
    <row r="49" spans="1:34" ht="17" thickBot="1">
      <c r="A49" s="477"/>
      <c r="B49" s="490"/>
      <c r="C49" s="477"/>
      <c r="D49" s="477"/>
      <c r="E49" s="525" t="s">
        <v>478</v>
      </c>
      <c r="F49" s="823" t="s">
        <v>0</v>
      </c>
      <c r="G49" s="804">
        <f>IF($G$20="Intermediate",G45+((((1/G35)*G36*G37)+G38)*G44*G52),IF($G$20="Complex",G47+('Complex Inputs'!$C$48*G44*G52),""))</f>
        <v>27075000</v>
      </c>
      <c r="H49" s="477"/>
      <c r="I49" s="481" t="s">
        <v>7</v>
      </c>
      <c r="J49" s="479"/>
      <c r="K49" s="478"/>
      <c r="L49" s="425"/>
      <c r="M49" s="478"/>
      <c r="N49" s="478"/>
      <c r="O49" s="428" t="s">
        <v>41</v>
      </c>
      <c r="P49" s="359" t="s">
        <v>264</v>
      </c>
      <c r="Q49" s="408" t="s">
        <v>301</v>
      </c>
      <c r="R49" s="478"/>
      <c r="S49" s="478"/>
      <c r="T49" s="478"/>
      <c r="U49" s="478"/>
      <c r="V49" s="477"/>
      <c r="W49" s="477"/>
      <c r="X49" s="477"/>
      <c r="Y49" s="479"/>
    </row>
    <row r="50" spans="1:34" ht="17" thickBot="1">
      <c r="A50" s="415"/>
      <c r="B50" s="490"/>
      <c r="C50" s="477"/>
      <c r="D50" s="477"/>
      <c r="E50" s="477"/>
      <c r="G50" s="477"/>
      <c r="H50" s="477"/>
      <c r="I50" s="477"/>
      <c r="J50" s="479"/>
      <c r="K50" s="8"/>
      <c r="L50" s="425"/>
      <c r="M50" s="478"/>
      <c r="N50" s="478"/>
      <c r="O50" s="647" t="s">
        <v>40</v>
      </c>
      <c r="P50" s="842"/>
      <c r="Q50" s="648"/>
      <c r="R50" s="478"/>
      <c r="S50" s="478"/>
      <c r="T50" s="478"/>
      <c r="U50" s="477"/>
      <c r="V50" s="477"/>
      <c r="W50" s="477"/>
      <c r="X50" s="477"/>
      <c r="Y50" s="479"/>
      <c r="AA50" s="478"/>
      <c r="AB50" s="477"/>
      <c r="AC50" s="477"/>
      <c r="AD50" s="477"/>
      <c r="AE50" s="477"/>
      <c r="AF50" s="477"/>
      <c r="AG50" s="477"/>
      <c r="AH50" s="478"/>
    </row>
    <row r="51" spans="1:34">
      <c r="B51" s="490"/>
      <c r="C51" s="477"/>
      <c r="D51" s="477"/>
      <c r="E51" s="778" t="s">
        <v>473</v>
      </c>
      <c r="F51" s="779" t="s">
        <v>264</v>
      </c>
      <c r="G51" s="780" t="s">
        <v>301</v>
      </c>
      <c r="H51" s="477"/>
      <c r="I51" s="481" t="s">
        <v>7</v>
      </c>
      <c r="J51" s="479"/>
      <c r="K51" s="8"/>
      <c r="L51" s="425"/>
      <c r="M51" s="375"/>
      <c r="N51" s="478"/>
      <c r="O51" s="639" t="s">
        <v>42</v>
      </c>
      <c r="P51" s="843"/>
      <c r="Q51" s="649" t="s">
        <v>503</v>
      </c>
      <c r="R51" s="478"/>
      <c r="S51" s="481" t="s">
        <v>7</v>
      </c>
      <c r="T51" s="478"/>
      <c r="U51" s="478"/>
      <c r="V51" s="477"/>
      <c r="W51" s="477"/>
      <c r="X51" s="477"/>
      <c r="Y51" s="479"/>
      <c r="AA51" s="478"/>
      <c r="AB51" s="477"/>
      <c r="AC51" s="477"/>
      <c r="AD51" s="477"/>
      <c r="AE51" s="477"/>
      <c r="AF51" s="477"/>
      <c r="AG51" s="478"/>
      <c r="AH51" s="478"/>
    </row>
    <row r="52" spans="1:34" ht="17" thickBot="1">
      <c r="A52" s="477"/>
      <c r="B52" s="490"/>
      <c r="C52" s="371"/>
      <c r="D52" s="477"/>
      <c r="E52" s="533" t="s">
        <v>481</v>
      </c>
      <c r="F52" s="487" t="s">
        <v>4</v>
      </c>
      <c r="G52" s="535">
        <v>2</v>
      </c>
      <c r="H52" s="477"/>
      <c r="I52" s="481" t="s">
        <v>7</v>
      </c>
      <c r="J52" s="479"/>
      <c r="K52" s="8"/>
      <c r="L52" s="425"/>
      <c r="M52" s="376"/>
      <c r="N52" s="478"/>
      <c r="O52" s="601" t="s">
        <v>43</v>
      </c>
      <c r="P52" s="650" t="s">
        <v>0</v>
      </c>
      <c r="Q52" s="557">
        <v>0</v>
      </c>
      <c r="R52" s="478"/>
      <c r="S52" s="481" t="s">
        <v>7</v>
      </c>
      <c r="T52" s="478"/>
      <c r="U52" s="385"/>
      <c r="V52" s="477"/>
      <c r="W52" s="477"/>
      <c r="X52" s="477"/>
      <c r="Y52" s="479"/>
      <c r="AA52" s="478"/>
      <c r="AB52" s="477"/>
      <c r="AC52" s="477"/>
      <c r="AD52" s="477"/>
      <c r="AE52" s="477"/>
      <c r="AF52" s="477"/>
      <c r="AG52" s="478"/>
      <c r="AH52" s="478"/>
    </row>
    <row r="53" spans="1:34" ht="17" thickBot="1">
      <c r="A53" s="477"/>
      <c r="B53" s="490"/>
      <c r="C53" s="477"/>
      <c r="D53" s="477"/>
      <c r="E53" s="533" t="s">
        <v>486</v>
      </c>
      <c r="F53" s="787" t="s">
        <v>1</v>
      </c>
      <c r="G53" s="801">
        <v>0.65</v>
      </c>
      <c r="H53" s="477"/>
      <c r="I53" s="481" t="s">
        <v>7</v>
      </c>
      <c r="J53" s="479"/>
      <c r="K53" s="8"/>
      <c r="L53" s="490"/>
      <c r="M53" s="477"/>
      <c r="N53" s="477"/>
      <c r="O53" s="477"/>
      <c r="Q53" s="477"/>
      <c r="R53" s="477"/>
      <c r="S53" s="477"/>
      <c r="T53" s="477"/>
      <c r="U53" s="477"/>
      <c r="V53" s="477"/>
      <c r="W53" s="477"/>
      <c r="X53" s="477"/>
      <c r="Y53" s="479"/>
      <c r="AA53" s="478"/>
      <c r="AB53" s="477"/>
      <c r="AC53" s="477"/>
      <c r="AD53" s="477"/>
      <c r="AE53" s="477"/>
      <c r="AF53" s="477"/>
      <c r="AG53" s="478"/>
      <c r="AH53" s="478"/>
    </row>
    <row r="54" spans="1:34" ht="17" thickBot="1">
      <c r="A54" s="477"/>
      <c r="B54" s="490"/>
      <c r="C54" s="477"/>
      <c r="D54" s="477"/>
      <c r="E54" s="599" t="s">
        <v>31</v>
      </c>
      <c r="F54" s="469" t="s">
        <v>1</v>
      </c>
      <c r="G54" s="600">
        <v>6.5000000000000002E-2</v>
      </c>
      <c r="H54" s="445"/>
      <c r="I54" s="481" t="s">
        <v>7</v>
      </c>
      <c r="J54" s="479"/>
      <c r="K54" s="478"/>
      <c r="L54" s="490"/>
      <c r="M54" s="338"/>
      <c r="N54" s="477"/>
      <c r="O54" s="428" t="s">
        <v>369</v>
      </c>
      <c r="P54" s="359" t="s">
        <v>264</v>
      </c>
      <c r="Q54" s="408" t="s">
        <v>301</v>
      </c>
      <c r="R54" s="477"/>
      <c r="S54" s="480"/>
      <c r="T54" s="355"/>
      <c r="U54" s="477"/>
      <c r="V54" s="477"/>
      <c r="W54" s="477"/>
      <c r="X54" s="477"/>
      <c r="Y54" s="479"/>
    </row>
    <row r="55" spans="1:34">
      <c r="A55" s="477"/>
      <c r="B55" s="490"/>
      <c r="C55" s="477"/>
      <c r="D55" s="477"/>
      <c r="E55" s="533" t="s">
        <v>485</v>
      </c>
      <c r="F55" s="787" t="s">
        <v>1</v>
      </c>
      <c r="G55" s="802">
        <f>1-G53</f>
        <v>0.35</v>
      </c>
      <c r="H55" s="477"/>
      <c r="I55" s="481" t="s">
        <v>7</v>
      </c>
      <c r="J55" s="479"/>
      <c r="K55" s="416"/>
      <c r="L55" s="425"/>
      <c r="M55" s="375"/>
      <c r="N55" s="477"/>
      <c r="O55" s="745" t="s">
        <v>466</v>
      </c>
      <c r="P55" s="844"/>
      <c r="Q55" s="758" t="s">
        <v>279</v>
      </c>
      <c r="R55" s="477">
        <f>IF(OR($Q$55="Cost-Based",$Q$55="Neither"),1,0)</f>
        <v>1</v>
      </c>
      <c r="S55" s="481" t="s">
        <v>7</v>
      </c>
      <c r="T55" s="369">
        <f>IF(OR($Q$55="Performance-Based",$Q$55="Neither"),1,0)</f>
        <v>0</v>
      </c>
      <c r="U55" s="477"/>
      <c r="V55" s="477"/>
      <c r="W55" s="477"/>
      <c r="X55" s="477"/>
      <c r="Y55" s="479"/>
    </row>
    <row r="56" spans="1:34">
      <c r="A56" s="477"/>
      <c r="B56" s="490"/>
      <c r="C56" s="477"/>
      <c r="D56" s="477"/>
      <c r="E56" s="533" t="s">
        <v>493</v>
      </c>
      <c r="F56" s="736" t="s">
        <v>1</v>
      </c>
      <c r="G56" s="801">
        <v>0.2</v>
      </c>
      <c r="H56" s="477"/>
      <c r="I56" s="481" t="s">
        <v>7</v>
      </c>
      <c r="J56" s="479"/>
      <c r="K56" s="8"/>
      <c r="L56" s="425"/>
      <c r="M56" s="375"/>
      <c r="N56" s="477"/>
      <c r="O56" s="568" t="s">
        <v>280</v>
      </c>
      <c r="P56" s="469"/>
      <c r="Q56" s="759" t="s">
        <v>290</v>
      </c>
      <c r="R56" s="478"/>
      <c r="S56" s="481" t="s">
        <v>7</v>
      </c>
      <c r="T56" s="478"/>
      <c r="U56" s="477"/>
      <c r="V56" s="477"/>
      <c r="W56" s="477"/>
      <c r="X56" s="477"/>
      <c r="Y56" s="479"/>
    </row>
    <row r="57" spans="1:34">
      <c r="A57" s="477"/>
      <c r="B57" s="490"/>
      <c r="C57" s="477"/>
      <c r="D57" s="477"/>
      <c r="E57" s="805" t="s">
        <v>487</v>
      </c>
      <c r="F57" s="791" t="s">
        <v>1</v>
      </c>
      <c r="G57" s="869">
        <f>(G55*G56)+(G53*G54*(1-Q$109))</f>
        <v>9.5128187499999989E-2</v>
      </c>
      <c r="H57" s="477"/>
      <c r="I57" s="872" t="s">
        <v>7</v>
      </c>
      <c r="J57" s="479"/>
      <c r="K57" s="8"/>
      <c r="L57" s="425"/>
      <c r="M57" s="375"/>
      <c r="N57" s="477">
        <f>IF(OR(Q57&lt;0,Q57&gt;1,Q57=""),1,0)</f>
        <v>0</v>
      </c>
      <c r="O57" s="579" t="s">
        <v>195</v>
      </c>
      <c r="P57" s="468" t="s">
        <v>1</v>
      </c>
      <c r="Q57" s="651">
        <v>0.3</v>
      </c>
      <c r="R57" s="478"/>
      <c r="S57" s="481" t="s">
        <v>7</v>
      </c>
      <c r="T57" s="478"/>
      <c r="U57" s="477"/>
      <c r="V57" s="477"/>
      <c r="W57" s="477"/>
      <c r="X57" s="477"/>
      <c r="Y57" s="479"/>
    </row>
    <row r="58" spans="1:34">
      <c r="B58" s="490"/>
      <c r="C58" s="477"/>
      <c r="D58" s="477"/>
      <c r="E58" s="870" t="s">
        <v>474</v>
      </c>
      <c r="F58" s="824"/>
      <c r="G58" s="871"/>
      <c r="H58" s="477"/>
      <c r="I58" s="477"/>
      <c r="J58" s="479"/>
      <c r="K58" s="8"/>
      <c r="L58" s="490"/>
      <c r="M58" s="477"/>
      <c r="N58" s="880">
        <f>IF(OR(Q58&lt;0,Q58&gt;1,Q58=""),1,0)</f>
        <v>0</v>
      </c>
      <c r="O58" s="579" t="s">
        <v>16</v>
      </c>
      <c r="P58" s="468" t="s">
        <v>1</v>
      </c>
      <c r="Q58" s="651">
        <v>1</v>
      </c>
      <c r="R58" s="477"/>
      <c r="S58" s="477"/>
      <c r="T58" s="477"/>
      <c r="U58" s="477"/>
      <c r="V58" s="477"/>
      <c r="W58" s="477"/>
      <c r="X58" s="477"/>
      <c r="Y58" s="479"/>
    </row>
    <row r="59" spans="1:34" ht="17" thickBot="1">
      <c r="B59" s="490"/>
      <c r="C59" s="371"/>
      <c r="D59" s="475"/>
      <c r="E59" s="635" t="s">
        <v>318</v>
      </c>
      <c r="F59" s="468" t="s">
        <v>312</v>
      </c>
      <c r="G59" s="781">
        <v>3</v>
      </c>
      <c r="H59" s="432"/>
      <c r="I59" s="481" t="s">
        <v>7</v>
      </c>
      <c r="J59" s="482"/>
      <c r="K59" s="8"/>
      <c r="L59" s="425"/>
      <c r="M59" s="477"/>
      <c r="N59" s="477"/>
      <c r="O59" s="525" t="s">
        <v>117</v>
      </c>
      <c r="P59" s="587" t="s">
        <v>0</v>
      </c>
      <c r="Q59" s="652">
        <f>IF($Q$104="Yes",IF($Q$56="ITC",IF($G$20="Complex",'Complex Inputs'!$D$121,'Cash Flow'!$C$102)*Inputs!$Q$57*Inputs!$Q$58,IF($Q$56="Cash Grant",IF($G$20="Complex",'Complex Inputs'!$D$121,'Cash Flow'!$C$102)*Inputs!$Q$57,0)),0)</f>
        <v>28296271.507218748</v>
      </c>
      <c r="R59" s="123"/>
      <c r="S59" s="481" t="s">
        <v>7</v>
      </c>
      <c r="T59" s="477"/>
      <c r="U59" s="477"/>
      <c r="V59" s="477"/>
      <c r="W59" s="477"/>
      <c r="X59" s="477"/>
      <c r="Y59" s="479"/>
    </row>
    <row r="60" spans="1:34">
      <c r="B60" s="490"/>
      <c r="C60" s="371"/>
      <c r="D60" s="475"/>
      <c r="E60" s="533" t="s">
        <v>319</v>
      </c>
      <c r="F60" s="825" t="s">
        <v>305</v>
      </c>
      <c r="G60" s="586">
        <v>0.5</v>
      </c>
      <c r="H60" s="486"/>
      <c r="I60" s="481" t="s">
        <v>7</v>
      </c>
      <c r="J60" s="482"/>
      <c r="K60" s="8"/>
      <c r="L60" s="425"/>
      <c r="M60" s="375"/>
      <c r="N60" s="477"/>
      <c r="O60" s="555" t="s">
        <v>282</v>
      </c>
      <c r="P60" s="845"/>
      <c r="Q60" s="653" t="s">
        <v>456</v>
      </c>
      <c r="R60" s="477"/>
      <c r="S60" s="481" t="s">
        <v>7</v>
      </c>
      <c r="T60" s="477"/>
      <c r="U60" s="477"/>
      <c r="V60" s="477"/>
      <c r="W60" s="477"/>
      <c r="X60" s="477"/>
      <c r="Y60" s="479"/>
    </row>
    <row r="61" spans="1:34">
      <c r="B61" s="490"/>
      <c r="C61" s="371"/>
      <c r="D61" s="475"/>
      <c r="E61" s="533" t="s">
        <v>320</v>
      </c>
      <c r="F61" s="469" t="s">
        <v>0</v>
      </c>
      <c r="G61" s="580">
        <v>3000000</v>
      </c>
      <c r="H61" s="432"/>
      <c r="I61" s="481" t="s">
        <v>7</v>
      </c>
      <c r="J61" s="482"/>
      <c r="K61" s="8"/>
      <c r="L61" s="425"/>
      <c r="M61" s="371"/>
      <c r="N61" s="477"/>
      <c r="O61" s="533" t="s">
        <v>121</v>
      </c>
      <c r="P61" s="228" t="s">
        <v>48</v>
      </c>
      <c r="Q61" s="654">
        <v>2.2999999999999998</v>
      </c>
      <c r="R61" s="478"/>
      <c r="S61" s="481" t="s">
        <v>7</v>
      </c>
      <c r="T61" s="477"/>
      <c r="U61" s="477"/>
      <c r="V61" s="477"/>
      <c r="W61" s="477"/>
      <c r="X61" s="477"/>
      <c r="Y61" s="479"/>
    </row>
    <row r="62" spans="1:34">
      <c r="B62" s="490"/>
      <c r="C62" s="371"/>
      <c r="D62" s="475"/>
      <c r="E62" s="533" t="s">
        <v>321</v>
      </c>
      <c r="F62" s="469"/>
      <c r="G62" s="580">
        <v>3000000</v>
      </c>
      <c r="H62" s="432"/>
      <c r="I62" s="481" t="s">
        <v>7</v>
      </c>
      <c r="J62" s="482"/>
      <c r="K62" s="8"/>
      <c r="L62" s="490"/>
      <c r="M62" s="477"/>
      <c r="N62" s="477">
        <f>IF(OR(Q62&lt;0,Q62&gt;1),1,0)</f>
        <v>0</v>
      </c>
      <c r="O62" s="533" t="s">
        <v>142</v>
      </c>
      <c r="P62" s="468" t="s">
        <v>1</v>
      </c>
      <c r="Q62" s="655">
        <v>1</v>
      </c>
      <c r="R62" s="477"/>
      <c r="S62" s="477"/>
      <c r="T62" s="478"/>
      <c r="U62" s="477"/>
      <c r="V62" s="477"/>
      <c r="W62" s="477"/>
      <c r="X62" s="477"/>
      <c r="Y62" s="479"/>
    </row>
    <row r="63" spans="1:34">
      <c r="B63" s="490"/>
      <c r="C63" s="371"/>
      <c r="D63" s="475"/>
      <c r="E63" s="533" t="s">
        <v>322</v>
      </c>
      <c r="F63" s="469" t="s">
        <v>0</v>
      </c>
      <c r="G63" s="580">
        <v>250000</v>
      </c>
      <c r="H63" s="432"/>
      <c r="I63" s="481" t="s">
        <v>7</v>
      </c>
      <c r="J63" s="482"/>
      <c r="K63" s="8"/>
      <c r="L63" s="425"/>
      <c r="M63" s="371"/>
      <c r="N63" s="477">
        <f>IF(OR(Q63&lt;0,Q63&gt;G17),1,0)</f>
        <v>0</v>
      </c>
      <c r="O63" s="533" t="s">
        <v>29</v>
      </c>
      <c r="P63" s="487" t="s">
        <v>28</v>
      </c>
      <c r="Q63" s="535">
        <v>10</v>
      </c>
      <c r="R63" s="478"/>
      <c r="S63" s="481" t="s">
        <v>7</v>
      </c>
      <c r="T63" s="477"/>
      <c r="U63" s="477"/>
      <c r="V63" s="477"/>
      <c r="W63" s="477"/>
      <c r="X63" s="477"/>
      <c r="Y63" s="479"/>
    </row>
    <row r="64" spans="1:34" ht="17" thickBot="1">
      <c r="A64" s="477"/>
      <c r="B64" s="490"/>
      <c r="C64" s="477"/>
      <c r="D64" s="475"/>
      <c r="E64" s="859" t="s">
        <v>484</v>
      </c>
      <c r="F64" s="469" t="s">
        <v>0</v>
      </c>
      <c r="G64" s="770">
        <f>(((G59-G36)*G61)+(G60*G59*G62)+G63)+(((G59-G36)*G61)+(G60*G59*G62)+G63)*G57*(G52/2)</f>
        <v>8487243.453125</v>
      </c>
      <c r="H64" s="432"/>
      <c r="I64" s="481" t="s">
        <v>7</v>
      </c>
      <c r="J64" s="482"/>
      <c r="K64" s="418"/>
      <c r="L64" s="425"/>
      <c r="M64" s="371"/>
      <c r="N64" s="477"/>
      <c r="O64" s="533" t="s">
        <v>126</v>
      </c>
      <c r="P64" s="468" t="s">
        <v>1</v>
      </c>
      <c r="Q64" s="655">
        <v>0.02</v>
      </c>
      <c r="R64" s="478"/>
      <c r="S64" s="481" t="s">
        <v>7</v>
      </c>
      <c r="T64" s="478"/>
      <c r="U64" s="477"/>
      <c r="V64" s="477"/>
      <c r="W64" s="477"/>
      <c r="X64" s="477"/>
      <c r="Y64" s="479"/>
    </row>
    <row r="65" spans="1:26">
      <c r="A65" s="417"/>
      <c r="B65" s="490"/>
      <c r="C65" s="672"/>
      <c r="D65" s="477"/>
      <c r="E65" s="786" t="s">
        <v>475</v>
      </c>
      <c r="F65" s="463" t="s">
        <v>0</v>
      </c>
      <c r="G65" s="592">
        <v>75000000</v>
      </c>
      <c r="H65" s="432"/>
      <c r="I65" s="464" t="s">
        <v>7</v>
      </c>
      <c r="J65" s="482"/>
      <c r="K65" s="478"/>
      <c r="L65" s="425"/>
      <c r="M65" s="371"/>
      <c r="N65" s="477"/>
      <c r="O65" s="523" t="s">
        <v>465</v>
      </c>
      <c r="P65" s="636" t="s">
        <v>0</v>
      </c>
      <c r="Q65" s="656">
        <v>0</v>
      </c>
      <c r="R65" s="123"/>
      <c r="S65" s="481" t="s">
        <v>7</v>
      </c>
      <c r="T65" s="478"/>
      <c r="U65" s="477"/>
      <c r="V65" s="477"/>
      <c r="W65" s="477"/>
      <c r="X65" s="477"/>
      <c r="Y65" s="479"/>
    </row>
    <row r="66" spans="1:26" ht="17" thickBot="1">
      <c r="A66" s="417"/>
      <c r="B66" s="490"/>
      <c r="C66" s="477"/>
      <c r="D66" s="477"/>
      <c r="E66" s="733" t="s">
        <v>515</v>
      </c>
      <c r="F66" s="463" t="s">
        <v>323</v>
      </c>
      <c r="G66" s="593">
        <f>G65/(G6*1000)</f>
        <v>5000</v>
      </c>
      <c r="H66" s="477"/>
      <c r="I66" s="464" t="s">
        <v>7</v>
      </c>
      <c r="J66" s="479"/>
      <c r="K66" s="477"/>
      <c r="L66" s="425"/>
      <c r="M66" s="375"/>
      <c r="N66" s="477"/>
      <c r="O66" s="525" t="s">
        <v>215</v>
      </c>
      <c r="P66" s="538"/>
      <c r="Q66" s="612" t="s">
        <v>12</v>
      </c>
      <c r="R66" s="9"/>
      <c r="S66" s="481" t="s">
        <v>7</v>
      </c>
      <c r="T66" s="478"/>
      <c r="U66" s="477"/>
      <c r="V66" s="477"/>
      <c r="W66" s="477"/>
      <c r="X66" s="477"/>
      <c r="Y66" s="479"/>
    </row>
    <row r="67" spans="1:26" ht="17" thickBot="1">
      <c r="A67" s="417"/>
      <c r="B67" s="490"/>
      <c r="C67" s="377"/>
      <c r="D67" s="477"/>
      <c r="E67" s="591" t="s">
        <v>144</v>
      </c>
      <c r="F67" s="463" t="s">
        <v>0</v>
      </c>
      <c r="G67" s="592">
        <v>1000000</v>
      </c>
      <c r="H67" s="432"/>
      <c r="I67" s="464" t="s">
        <v>7</v>
      </c>
      <c r="J67" s="482"/>
      <c r="K67" s="477"/>
      <c r="L67" s="490"/>
      <c r="M67" s="477"/>
      <c r="N67" s="477"/>
      <c r="O67" s="477"/>
      <c r="Q67" s="477"/>
      <c r="R67" s="477"/>
      <c r="S67" s="477"/>
      <c r="T67" s="477"/>
      <c r="U67" s="477"/>
      <c r="V67" s="477"/>
      <c r="W67" s="477"/>
      <c r="X67" s="477"/>
      <c r="Y67" s="479"/>
    </row>
    <row r="68" spans="1:26" ht="17" thickBot="1">
      <c r="A68" s="417"/>
      <c r="B68" s="490"/>
      <c r="C68" s="336"/>
      <c r="D68" s="477"/>
      <c r="E68" s="591" t="s">
        <v>517</v>
      </c>
      <c r="F68" s="463" t="s">
        <v>0</v>
      </c>
      <c r="G68" s="593">
        <f>(G82*G79*SUM(G32,G49,G64,G65,G67))+G92+G97+G100</f>
        <v>8049792.8595753945</v>
      </c>
      <c r="H68" s="433"/>
      <c r="I68" s="464" t="s">
        <v>7</v>
      </c>
      <c r="J68" s="482"/>
      <c r="K68" s="477"/>
      <c r="L68" s="425"/>
      <c r="M68" s="477"/>
      <c r="N68" s="477"/>
      <c r="O68" s="428" t="s">
        <v>459</v>
      </c>
      <c r="P68" s="681" t="s">
        <v>264</v>
      </c>
      <c r="Q68" s="643" t="s">
        <v>301</v>
      </c>
      <c r="R68" s="478"/>
      <c r="S68" s="477"/>
      <c r="T68" s="477"/>
      <c r="U68" s="477"/>
      <c r="V68" s="477"/>
      <c r="W68" s="477"/>
      <c r="X68" s="477"/>
      <c r="Y68" s="479"/>
    </row>
    <row r="69" spans="1:26">
      <c r="A69" s="417"/>
      <c r="B69" s="490"/>
      <c r="C69" s="336"/>
      <c r="D69" s="477"/>
      <c r="E69" s="775" t="str">
        <f>IF($G$20="Complex","Click Here for Complex Input Worksheet","")</f>
        <v/>
      </c>
      <c r="F69" s="826"/>
      <c r="G69" s="776"/>
      <c r="H69" s="434"/>
      <c r="I69" s="464" t="s">
        <v>7</v>
      </c>
      <c r="J69" s="482"/>
      <c r="K69" s="478"/>
      <c r="L69" s="425"/>
      <c r="M69" s="375"/>
      <c r="N69" s="477"/>
      <c r="O69" s="745" t="s">
        <v>468</v>
      </c>
      <c r="P69" s="845"/>
      <c r="Q69" s="653" t="s">
        <v>470</v>
      </c>
      <c r="R69" s="477"/>
      <c r="S69" s="481" t="s">
        <v>7</v>
      </c>
      <c r="T69" s="477"/>
      <c r="U69" s="477"/>
      <c r="V69" s="477"/>
      <c r="W69" s="477"/>
      <c r="X69" s="477"/>
      <c r="Y69" s="479"/>
    </row>
    <row r="70" spans="1:26">
      <c r="A70" s="477"/>
      <c r="B70" s="490"/>
      <c r="C70" s="477"/>
      <c r="D70" s="477"/>
      <c r="E70" s="859" t="s">
        <v>482</v>
      </c>
      <c r="F70" s="469" t="s">
        <v>0</v>
      </c>
      <c r="G70" s="785">
        <f>IF($G$20="Intermediate",(G65+G67+G68)+(G65+G67)*G57*(G52/2),"")</f>
        <v>91279535.109575391</v>
      </c>
      <c r="H70" s="477"/>
      <c r="I70" s="477"/>
      <c r="J70" s="479"/>
      <c r="K70" s="477"/>
      <c r="L70" s="425"/>
      <c r="M70" s="371"/>
      <c r="N70" s="477">
        <f>IF(OR(Q70&lt;0,Q70&gt;1),1,0)</f>
        <v>0</v>
      </c>
      <c r="O70" s="568" t="s">
        <v>176</v>
      </c>
      <c r="P70" s="469" t="s">
        <v>1</v>
      </c>
      <c r="Q70" s="657">
        <v>0.1</v>
      </c>
      <c r="R70" s="755">
        <f>IF(OR($Q$69="Performance-Based",$Q$69="Neither"),1,0)</f>
        <v>1</v>
      </c>
      <c r="S70" s="481" t="s">
        <v>7</v>
      </c>
      <c r="T70" s="477"/>
      <c r="U70" s="477"/>
      <c r="V70" s="477"/>
      <c r="W70" s="477"/>
      <c r="X70" s="477"/>
      <c r="Y70" s="479"/>
    </row>
    <row r="71" spans="1:26">
      <c r="A71" s="477"/>
      <c r="B71" s="490"/>
      <c r="C71" s="477"/>
      <c r="D71" s="477"/>
      <c r="E71" s="806" t="s">
        <v>483</v>
      </c>
      <c r="F71" s="798" t="str">
        <f>IF($G$20="Simple","","$")</f>
        <v>$</v>
      </c>
      <c r="G71" s="785">
        <f>IF($G$20="Complex",SUM('Complex Inputs'!C118:C120),IF($G$20="Intermediate",G64+G70,""))</f>
        <v>99766778.562700391</v>
      </c>
      <c r="H71" s="477"/>
      <c r="I71" s="481" t="s">
        <v>7</v>
      </c>
      <c r="J71" s="479"/>
      <c r="K71" s="478"/>
      <c r="L71" s="490"/>
      <c r="M71" s="477"/>
      <c r="N71" s="477">
        <f>IF(OR(Q71&lt;0,Q71&gt;1),1,0)</f>
        <v>0</v>
      </c>
      <c r="O71" s="568" t="s">
        <v>23</v>
      </c>
      <c r="P71" s="469" t="s">
        <v>1</v>
      </c>
      <c r="Q71" s="657">
        <v>1</v>
      </c>
      <c r="R71" s="477"/>
      <c r="S71" s="477"/>
      <c r="T71" s="477"/>
      <c r="U71" s="477"/>
      <c r="V71" s="477"/>
      <c r="W71" s="477"/>
      <c r="X71" s="477"/>
      <c r="Y71" s="479"/>
    </row>
    <row r="72" spans="1:26" ht="17" thickBot="1">
      <c r="A72" s="477"/>
      <c r="B72" s="490"/>
      <c r="C72" s="477"/>
      <c r="D72" s="477"/>
      <c r="E72" s="553" t="s">
        <v>495</v>
      </c>
      <c r="F72" s="797" t="s">
        <v>323</v>
      </c>
      <c r="G72" s="796">
        <f>G71/(G6*1000)</f>
        <v>6651.1185708466928</v>
      </c>
      <c r="H72" s="477"/>
      <c r="I72" s="477"/>
      <c r="J72" s="479"/>
      <c r="K72" s="478"/>
      <c r="L72" s="425"/>
      <c r="M72" s="371"/>
      <c r="N72" s="477">
        <f>IF(OR(Q72&lt;1,Q72&gt;G17),1,0)</f>
        <v>0</v>
      </c>
      <c r="O72" s="533" t="s">
        <v>27</v>
      </c>
      <c r="P72" s="487" t="s">
        <v>28</v>
      </c>
      <c r="Q72" s="535">
        <v>5</v>
      </c>
      <c r="R72" s="477"/>
      <c r="S72" s="481" t="s">
        <v>7</v>
      </c>
      <c r="T72" s="478"/>
      <c r="U72" s="477"/>
      <c r="V72" s="477"/>
      <c r="W72" s="477"/>
      <c r="X72" s="477"/>
      <c r="Y72" s="479"/>
      <c r="Z72" s="477"/>
    </row>
    <row r="73" spans="1:26" ht="17" thickBot="1">
      <c r="A73" s="477"/>
      <c r="B73" s="490"/>
      <c r="C73" s="477"/>
      <c r="D73" s="477"/>
      <c r="E73" s="860"/>
      <c r="F73" s="861"/>
      <c r="G73" s="861"/>
      <c r="H73" s="477"/>
      <c r="I73" s="477"/>
      <c r="J73" s="479"/>
      <c r="K73" s="477"/>
      <c r="L73" s="490"/>
      <c r="M73" s="477"/>
      <c r="N73" s="477"/>
      <c r="O73" s="525" t="s">
        <v>386</v>
      </c>
      <c r="P73" s="650" t="s">
        <v>0</v>
      </c>
      <c r="Q73" s="683">
        <f>IF(AND($Q$104="Yes",$Q$69="Cost-Based"),SUM('Cash Flow'!$G$183:$AJ$183),0)</f>
        <v>0</v>
      </c>
      <c r="R73" s="477"/>
      <c r="S73" s="481" t="s">
        <v>7</v>
      </c>
      <c r="T73" s="477"/>
      <c r="U73" s="477"/>
      <c r="V73" s="477"/>
      <c r="W73" s="477"/>
      <c r="X73" s="477"/>
      <c r="Y73" s="479"/>
      <c r="Z73" s="477"/>
    </row>
    <row r="74" spans="1:26" ht="17" thickBot="1">
      <c r="A74" s="477"/>
      <c r="B74" s="490"/>
      <c r="C74" s="477"/>
      <c r="D74" s="477"/>
      <c r="E74" s="6" t="s">
        <v>146</v>
      </c>
      <c r="F74" s="359" t="s">
        <v>264</v>
      </c>
      <c r="G74" s="408" t="s">
        <v>301</v>
      </c>
      <c r="H74" s="434"/>
      <c r="I74" s="673"/>
      <c r="J74" s="482"/>
      <c r="K74" s="477"/>
      <c r="L74" s="425"/>
      <c r="M74" s="375"/>
      <c r="N74" s="477"/>
      <c r="O74" s="635" t="s">
        <v>283</v>
      </c>
      <c r="P74" s="468"/>
      <c r="Q74" s="682" t="s">
        <v>456</v>
      </c>
      <c r="R74" s="9">
        <f>IF(OR($Q$69="Cost-Based",$Q$69="Neither"),1,0)</f>
        <v>1</v>
      </c>
      <c r="S74" s="481" t="s">
        <v>7</v>
      </c>
      <c r="T74" s="477"/>
      <c r="U74" s="477"/>
      <c r="V74" s="477"/>
      <c r="W74" s="477"/>
      <c r="X74" s="477"/>
      <c r="Y74" s="479"/>
      <c r="Z74" s="477"/>
    </row>
    <row r="75" spans="1:26">
      <c r="A75" s="477"/>
      <c r="B75" s="490"/>
      <c r="C75" s="337"/>
      <c r="D75" s="477"/>
      <c r="E75" s="807" t="s">
        <v>442</v>
      </c>
      <c r="F75" s="551" t="s">
        <v>0</v>
      </c>
      <c r="G75" s="594">
        <f>IF($G$20="Simple",($G$21*$G$6*1000)*((((1+$G$44)*15%)*($G$39/2))+(((1+$G$57)*85%)*($G$52/2))),IF($G$20="Intermediate",SUM(G49+G71),IF($G$20="Complex",$G$71+$G$49,0)))+G32</f>
        <v>144341778.56270039</v>
      </c>
      <c r="H75" s="434"/>
      <c r="I75" s="524" t="s">
        <v>7</v>
      </c>
      <c r="J75" s="482"/>
      <c r="K75" s="478"/>
      <c r="L75" s="490"/>
      <c r="M75" s="477"/>
      <c r="N75" s="477"/>
      <c r="O75" s="533" t="s">
        <v>458</v>
      </c>
      <c r="P75" s="73" t="s">
        <v>0</v>
      </c>
      <c r="Q75" s="645">
        <v>0</v>
      </c>
      <c r="R75" s="9"/>
      <c r="S75" s="481" t="s">
        <v>7</v>
      </c>
      <c r="T75" s="478"/>
      <c r="U75" s="477"/>
      <c r="V75" s="477"/>
      <c r="W75" s="477"/>
      <c r="X75" s="477"/>
      <c r="Y75" s="479"/>
      <c r="Z75" s="477"/>
    </row>
    <row r="76" spans="1:26" ht="17" thickBot="1">
      <c r="A76" s="419"/>
      <c r="B76" s="490"/>
      <c r="C76" s="337"/>
      <c r="D76" s="477"/>
      <c r="E76" s="747" t="s">
        <v>516</v>
      </c>
      <c r="F76" s="548" t="s">
        <v>323</v>
      </c>
      <c r="G76" s="596">
        <f>G75/(G6*1000)</f>
        <v>9622.7852375133589</v>
      </c>
      <c r="H76" s="436"/>
      <c r="I76" s="481" t="s">
        <v>7</v>
      </c>
      <c r="J76" s="482"/>
      <c r="K76" s="8"/>
      <c r="L76" s="425"/>
      <c r="M76" s="375"/>
      <c r="N76" s="477"/>
      <c r="O76" s="533" t="s">
        <v>469</v>
      </c>
      <c r="P76" s="435"/>
      <c r="Q76" s="649" t="s">
        <v>120</v>
      </c>
      <c r="R76" s="9">
        <f>IF(OR($Q$69="Cost-Based",$Q$69="Neither",$Q$74="Tax Credit"),1,0)</f>
        <v>1</v>
      </c>
      <c r="S76" s="481" t="s">
        <v>7</v>
      </c>
      <c r="T76" s="477"/>
      <c r="U76" s="477"/>
      <c r="V76" s="477"/>
      <c r="W76" s="477"/>
      <c r="X76" s="477"/>
      <c r="Y76" s="479"/>
      <c r="Z76" s="477"/>
    </row>
    <row r="77" spans="1:26" ht="17" thickBot="1">
      <c r="A77" s="417"/>
      <c r="B77" s="490"/>
      <c r="C77" s="338"/>
      <c r="D77" s="477"/>
      <c r="E77" s="438"/>
      <c r="F77" s="827"/>
      <c r="G77" s="439"/>
      <c r="H77" s="477"/>
      <c r="I77" s="480"/>
      <c r="J77" s="482"/>
      <c r="K77" s="8"/>
      <c r="L77" s="425"/>
      <c r="M77" s="371"/>
      <c r="N77" s="477"/>
      <c r="O77" s="533" t="s">
        <v>460</v>
      </c>
      <c r="P77" s="228" t="s">
        <v>48</v>
      </c>
      <c r="Q77" s="654">
        <v>1.5</v>
      </c>
      <c r="R77" s="9"/>
      <c r="S77" s="481" t="s">
        <v>7</v>
      </c>
      <c r="T77" s="358">
        <f>IF(OR($Q$69="Cost-Based",$Q$74="Tax Credit",$Q$69="Neither"),1,0)</f>
        <v>1</v>
      </c>
      <c r="U77" s="477"/>
      <c r="V77" s="477"/>
      <c r="W77" s="477"/>
      <c r="X77" s="477"/>
      <c r="Y77" s="479"/>
      <c r="Z77" s="477"/>
    </row>
    <row r="78" spans="1:26" ht="17" thickBot="1">
      <c r="B78" s="490"/>
      <c r="C78" s="340"/>
      <c r="D78" s="477"/>
      <c r="E78" s="428" t="s">
        <v>30</v>
      </c>
      <c r="F78" s="359" t="s">
        <v>264</v>
      </c>
      <c r="G78" s="408" t="s">
        <v>301</v>
      </c>
      <c r="H78" s="445"/>
      <c r="I78" s="402"/>
      <c r="J78" s="482"/>
      <c r="K78" s="8"/>
      <c r="L78" s="490"/>
      <c r="M78" s="477"/>
      <c r="N78" s="881">
        <f>IF(OR(Q78&lt;0,Q78&gt;1),1,0)</f>
        <v>0</v>
      </c>
      <c r="O78" s="533" t="s">
        <v>142</v>
      </c>
      <c r="P78" s="469" t="s">
        <v>1</v>
      </c>
      <c r="Q78" s="655">
        <v>1</v>
      </c>
      <c r="R78" s="477"/>
      <c r="S78" s="477"/>
      <c r="T78" s="358"/>
      <c r="U78" s="477"/>
      <c r="V78" s="477"/>
      <c r="W78" s="477"/>
      <c r="X78" s="477"/>
      <c r="Y78" s="479"/>
      <c r="Z78" s="477"/>
    </row>
    <row r="79" spans="1:26">
      <c r="B79" s="490"/>
      <c r="C79" s="373"/>
      <c r="D79" s="477">
        <f>IF(OR(G79="",G79&lt;0,G79&gt;1),1,0)</f>
        <v>0</v>
      </c>
      <c r="E79" s="533" t="s">
        <v>218</v>
      </c>
      <c r="F79" s="469" t="s">
        <v>1</v>
      </c>
      <c r="G79" s="534">
        <v>0.5</v>
      </c>
      <c r="H79" s="446"/>
      <c r="I79" s="481" t="s">
        <v>7</v>
      </c>
      <c r="J79" s="431"/>
      <c r="K79" s="8"/>
      <c r="L79" s="425"/>
      <c r="M79" s="371"/>
      <c r="N79" s="477">
        <f>IF(OR(Q79&lt;0,Q79&gt;G17),1,0)</f>
        <v>0</v>
      </c>
      <c r="O79" s="533" t="s">
        <v>461</v>
      </c>
      <c r="P79" s="487" t="s">
        <v>28</v>
      </c>
      <c r="Q79" s="535">
        <v>10</v>
      </c>
      <c r="R79" s="9"/>
      <c r="S79" s="481" t="s">
        <v>7</v>
      </c>
      <c r="T79" s="477"/>
      <c r="U79" s="196"/>
      <c r="V79" s="196"/>
      <c r="W79" s="196"/>
      <c r="X79" s="477"/>
      <c r="Y79" s="479"/>
      <c r="Z79" s="477"/>
    </row>
    <row r="80" spans="1:26" ht="17" thickBot="1">
      <c r="B80" s="490"/>
      <c r="C80" s="340"/>
      <c r="D80" s="477"/>
      <c r="E80" s="533" t="s">
        <v>447</v>
      </c>
      <c r="F80" s="468" t="s">
        <v>4</v>
      </c>
      <c r="G80" s="535">
        <v>15</v>
      </c>
      <c r="H80" s="484"/>
      <c r="I80" s="481" t="s">
        <v>7</v>
      </c>
      <c r="J80" s="431"/>
      <c r="K80" s="8"/>
      <c r="L80" s="425"/>
      <c r="M80" s="371"/>
      <c r="N80" s="477"/>
      <c r="O80" s="533" t="s">
        <v>462</v>
      </c>
      <c r="P80" s="468" t="s">
        <v>1</v>
      </c>
      <c r="Q80" s="655">
        <v>0.02</v>
      </c>
      <c r="R80" s="478"/>
      <c r="S80" s="481" t="s">
        <v>7</v>
      </c>
      <c r="T80" s="358"/>
      <c r="U80" s="477"/>
      <c r="V80" s="477"/>
      <c r="W80" s="477"/>
      <c r="X80" s="477"/>
      <c r="Y80" s="479"/>
      <c r="Z80" s="477"/>
    </row>
    <row r="81" spans="2:26">
      <c r="B81" s="490"/>
      <c r="C81" s="477"/>
      <c r="D81" s="477">
        <f>IF(OR(G81&lt;0,G81=""),1,0)</f>
        <v>0</v>
      </c>
      <c r="E81" s="533" t="s">
        <v>180</v>
      </c>
      <c r="F81" s="469" t="s">
        <v>1</v>
      </c>
      <c r="G81" s="536">
        <v>7.0000000000000007E-2</v>
      </c>
      <c r="H81" s="447"/>
      <c r="I81" s="481" t="s">
        <v>7</v>
      </c>
      <c r="J81" s="431"/>
      <c r="K81" s="8"/>
      <c r="L81" s="425"/>
      <c r="M81" s="371"/>
      <c r="N81" s="478"/>
      <c r="O81" s="756" t="s">
        <v>467</v>
      </c>
      <c r="P81" s="614" t="s">
        <v>323</v>
      </c>
      <c r="Q81" s="757">
        <v>0</v>
      </c>
      <c r="R81" s="477"/>
      <c r="S81" s="481" t="s">
        <v>7</v>
      </c>
      <c r="T81" s="477"/>
      <c r="U81" s="477"/>
      <c r="V81" s="477"/>
      <c r="W81" s="477"/>
      <c r="X81" s="477"/>
      <c r="Y81" s="479"/>
      <c r="Z81" s="477"/>
    </row>
    <row r="82" spans="2:26" ht="17" thickBot="1">
      <c r="B82" s="490"/>
      <c r="C82" s="371"/>
      <c r="D82" s="477">
        <f>IF(OR(G82&lt;0,G82=""),1,0)</f>
        <v>0</v>
      </c>
      <c r="E82" s="537" t="s">
        <v>44</v>
      </c>
      <c r="F82" s="538" t="s">
        <v>1</v>
      </c>
      <c r="G82" s="539">
        <v>0.03</v>
      </c>
      <c r="H82" s="483"/>
      <c r="I82" s="481" t="s">
        <v>7</v>
      </c>
      <c r="J82" s="482"/>
      <c r="K82" s="8"/>
      <c r="L82" s="490"/>
      <c r="M82" s="477"/>
      <c r="N82" s="477"/>
      <c r="O82" s="533" t="s">
        <v>457</v>
      </c>
      <c r="P82" s="487" t="s">
        <v>0</v>
      </c>
      <c r="Q82" s="580">
        <v>0</v>
      </c>
      <c r="R82" s="477"/>
      <c r="S82" s="481" t="s">
        <v>7</v>
      </c>
      <c r="T82" s="478"/>
      <c r="U82" s="477"/>
      <c r="V82" s="477"/>
      <c r="W82" s="477"/>
      <c r="X82" s="477"/>
      <c r="Y82" s="479"/>
      <c r="Z82" s="477"/>
    </row>
    <row r="83" spans="2:26" ht="17" thickBot="1">
      <c r="B83" s="490"/>
      <c r="C83" s="340"/>
      <c r="D83" s="477"/>
      <c r="E83" s="540" t="s">
        <v>193</v>
      </c>
      <c r="F83" s="541"/>
      <c r="G83" s="542">
        <v>1.2</v>
      </c>
      <c r="H83" s="448"/>
      <c r="I83" s="481" t="s">
        <v>7</v>
      </c>
      <c r="J83" s="482"/>
      <c r="K83" s="8"/>
      <c r="L83" s="425"/>
      <c r="M83" s="375"/>
      <c r="N83" s="477"/>
      <c r="O83" s="525" t="s">
        <v>214</v>
      </c>
      <c r="P83" s="538"/>
      <c r="Q83" s="612" t="s">
        <v>12</v>
      </c>
      <c r="R83" s="9"/>
      <c r="S83" s="481" t="s">
        <v>7</v>
      </c>
      <c r="T83" s="477"/>
      <c r="U83" s="477"/>
      <c r="V83" s="477"/>
      <c r="W83" s="477"/>
      <c r="X83" s="477"/>
      <c r="Y83" s="479"/>
      <c r="Z83" s="477"/>
    </row>
    <row r="84" spans="2:26" ht="17" thickBot="1">
      <c r="B84" s="490"/>
      <c r="C84" s="477"/>
      <c r="D84" s="477"/>
      <c r="E84" s="543" t="s">
        <v>194</v>
      </c>
      <c r="F84" s="449">
        <f>MAX('Cash Flow'!G45:AJ45)</f>
        <v>15</v>
      </c>
      <c r="G84" s="544">
        <f>ROUND('Cash Flow'!$F$44,2)</f>
        <v>1.79</v>
      </c>
      <c r="H84" s="450"/>
      <c r="I84" s="481" t="s">
        <v>7</v>
      </c>
      <c r="J84" s="482"/>
      <c r="K84" s="8"/>
      <c r="L84" s="490"/>
      <c r="M84" s="477"/>
      <c r="N84" s="477"/>
      <c r="O84" s="477"/>
      <c r="Q84" s="477"/>
      <c r="R84" s="477"/>
      <c r="S84" s="477"/>
      <c r="T84" s="477"/>
      <c r="U84" s="477"/>
      <c r="V84" s="477"/>
      <c r="W84" s="477"/>
      <c r="X84" s="477"/>
      <c r="Y84" s="479"/>
      <c r="Z84" s="477"/>
    </row>
    <row r="85" spans="2:26" ht="17" thickBot="1">
      <c r="B85" s="490"/>
      <c r="C85" s="371"/>
      <c r="D85" s="477"/>
      <c r="E85" s="543" t="s">
        <v>299</v>
      </c>
      <c r="F85" s="435" t="s">
        <v>165</v>
      </c>
      <c r="G85" s="545" t="str">
        <f>IF($G$84&gt;=$G$83,"Pass","Fail")</f>
        <v>Pass</v>
      </c>
      <c r="H85" s="403"/>
      <c r="I85" s="481" t="s">
        <v>7</v>
      </c>
      <c r="J85" s="431"/>
      <c r="K85" s="8"/>
      <c r="L85" s="490"/>
      <c r="M85" s="477"/>
      <c r="N85" s="477"/>
      <c r="O85" s="360" t="s">
        <v>349</v>
      </c>
      <c r="P85" s="502" t="s">
        <v>302</v>
      </c>
      <c r="Q85" s="502"/>
      <c r="R85" s="502"/>
      <c r="S85" s="502"/>
      <c r="T85" s="502"/>
      <c r="U85" s="502"/>
      <c r="V85" s="502"/>
      <c r="W85" s="408"/>
      <c r="X85" s="477"/>
      <c r="Y85" s="479"/>
      <c r="Z85" s="477"/>
    </row>
    <row r="86" spans="2:26">
      <c r="B86" s="490"/>
      <c r="C86" s="373"/>
      <c r="D86" s="477"/>
      <c r="E86" s="543" t="s">
        <v>223</v>
      </c>
      <c r="F86" s="435"/>
      <c r="G86" s="546">
        <v>1.45</v>
      </c>
      <c r="H86" s="448"/>
      <c r="I86" s="481" t="s">
        <v>7</v>
      </c>
      <c r="J86" s="482"/>
      <c r="K86" s="8"/>
      <c r="L86" s="490"/>
      <c r="M86" s="477"/>
      <c r="N86" s="477"/>
      <c r="O86" s="523" t="s">
        <v>349</v>
      </c>
      <c r="P86" s="846" t="s">
        <v>120</v>
      </c>
      <c r="Q86" s="477"/>
      <c r="R86" s="477"/>
      <c r="S86" s="524" t="s">
        <v>7</v>
      </c>
      <c r="T86" s="477"/>
      <c r="U86" s="477"/>
      <c r="V86" s="477"/>
      <c r="W86" s="477"/>
      <c r="X86" s="477"/>
      <c r="Y86" s="479"/>
      <c r="Z86" s="477"/>
    </row>
    <row r="87" spans="2:26" ht="17" thickBot="1">
      <c r="B87" s="490"/>
      <c r="C87" s="477"/>
      <c r="D87" s="477"/>
      <c r="E87" s="543" t="s">
        <v>222</v>
      </c>
      <c r="F87" s="449"/>
      <c r="G87" s="544">
        <f>ROUND('Cash Flow'!$E$44,2)</f>
        <v>2.1</v>
      </c>
      <c r="H87" s="450"/>
      <c r="I87" s="481" t="s">
        <v>7</v>
      </c>
      <c r="J87" s="482"/>
      <c r="K87" s="478"/>
      <c r="L87" s="490"/>
      <c r="M87" s="477"/>
      <c r="N87" s="477"/>
      <c r="O87" s="525" t="s">
        <v>496</v>
      </c>
      <c r="P87" s="847">
        <v>0</v>
      </c>
      <c r="Q87" s="477"/>
      <c r="R87" s="477"/>
      <c r="S87" s="481" t="s">
        <v>7</v>
      </c>
      <c r="T87" s="477"/>
      <c r="U87" s="477"/>
      <c r="V87" s="477"/>
      <c r="W87" s="477"/>
      <c r="X87" s="477"/>
      <c r="Y87" s="479"/>
      <c r="Z87" s="477"/>
    </row>
    <row r="88" spans="2:26" ht="17" thickBot="1">
      <c r="B88" s="490"/>
      <c r="C88" s="371"/>
      <c r="D88" s="477"/>
      <c r="E88" s="547" t="s">
        <v>300</v>
      </c>
      <c r="F88" s="548" t="s">
        <v>165</v>
      </c>
      <c r="G88" s="549" t="str">
        <f>IF($G$87&gt;=$G$86,"Pass","Fail")</f>
        <v>Pass</v>
      </c>
      <c r="H88" s="403"/>
      <c r="I88" s="481" t="s">
        <v>7</v>
      </c>
      <c r="J88" s="482"/>
      <c r="K88" s="478"/>
      <c r="L88" s="490"/>
      <c r="M88" s="477"/>
      <c r="N88" s="477"/>
      <c r="O88" s="491"/>
      <c r="P88" s="833"/>
      <c r="Q88" s="74"/>
      <c r="R88" s="74"/>
      <c r="S88" s="74"/>
      <c r="T88" s="74"/>
      <c r="U88" s="74"/>
      <c r="V88" s="74"/>
      <c r="W88" s="74"/>
      <c r="X88" s="477"/>
      <c r="Y88" s="479"/>
      <c r="Z88" s="477"/>
    </row>
    <row r="89" spans="2:26" ht="17" thickBot="1">
      <c r="B89" s="490"/>
      <c r="C89" s="477"/>
      <c r="D89" s="477"/>
      <c r="E89" s="550" t="s">
        <v>343</v>
      </c>
      <c r="F89" s="551" t="s">
        <v>1</v>
      </c>
      <c r="G89" s="552">
        <f>1-G79</f>
        <v>0.5</v>
      </c>
      <c r="H89" s="451"/>
      <c r="I89" s="481" t="s">
        <v>7</v>
      </c>
      <c r="J89" s="482"/>
      <c r="K89" s="478"/>
      <c r="L89" s="490"/>
      <c r="M89" s="478"/>
      <c r="N89" s="478"/>
      <c r="O89" s="360" t="s">
        <v>387</v>
      </c>
      <c r="P89" s="502"/>
      <c r="Q89" s="684"/>
      <c r="R89" s="684"/>
      <c r="S89" s="684"/>
      <c r="T89" s="684"/>
      <c r="U89" s="684"/>
      <c r="V89" s="502"/>
      <c r="W89" s="408"/>
      <c r="X89" s="477"/>
      <c r="Y89" s="479"/>
      <c r="Z89" s="477"/>
    </row>
    <row r="90" spans="2:26" ht="17" thickBot="1">
      <c r="B90" s="490"/>
      <c r="C90" s="477"/>
      <c r="D90" s="477">
        <f>IF(OR(G90&lt;0,G90=""),1,0)</f>
        <v>0</v>
      </c>
      <c r="E90" s="553" t="s">
        <v>240</v>
      </c>
      <c r="F90" s="538" t="s">
        <v>1</v>
      </c>
      <c r="G90" s="554">
        <v>0.15</v>
      </c>
      <c r="H90" s="447"/>
      <c r="I90" s="481" t="s">
        <v>7</v>
      </c>
      <c r="J90" s="482"/>
      <c r="K90" s="478"/>
      <c r="L90" s="490"/>
      <c r="M90" s="478"/>
      <c r="N90" s="478"/>
      <c r="O90" s="719" t="s">
        <v>24</v>
      </c>
      <c r="P90" s="848" t="s">
        <v>19</v>
      </c>
      <c r="Q90" s="876" t="s">
        <v>20</v>
      </c>
      <c r="R90" s="891" t="s">
        <v>21</v>
      </c>
      <c r="S90" s="892"/>
      <c r="T90" s="893"/>
      <c r="U90" s="876" t="s">
        <v>22</v>
      </c>
      <c r="V90" s="693" t="s">
        <v>388</v>
      </c>
      <c r="W90" s="720" t="s">
        <v>389</v>
      </c>
      <c r="X90" s="477"/>
      <c r="Y90" s="479"/>
      <c r="Z90" s="477"/>
    </row>
    <row r="91" spans="2:26">
      <c r="B91" s="490"/>
      <c r="C91" s="477"/>
      <c r="D91" s="477"/>
      <c r="E91" s="555" t="s">
        <v>286</v>
      </c>
      <c r="F91" s="551" t="s">
        <v>1</v>
      </c>
      <c r="G91" s="556">
        <f>(G90*F105)+(F104*G81*(1-Q109))</f>
        <v>0.10155195949961535</v>
      </c>
      <c r="H91" s="477"/>
      <c r="I91" s="481" t="s">
        <v>7</v>
      </c>
      <c r="J91" s="479"/>
      <c r="K91" s="478"/>
      <c r="L91" s="490">
        <f>IF(AND($Q$104="Yes",$G$20="Simple"),1,0)</f>
        <v>0</v>
      </c>
      <c r="M91" s="478"/>
      <c r="N91" s="279">
        <f>IF(AND($G$20="Simple",SUM(P91:W91)=1),1,IF(AND($G$20="Simple",SUM(P91:W91)&lt;&gt;1),2,0))</f>
        <v>0</v>
      </c>
      <c r="O91" s="721" t="s">
        <v>119</v>
      </c>
      <c r="P91" s="849">
        <v>0.65</v>
      </c>
      <c r="Q91" s="875">
        <v>0.05</v>
      </c>
      <c r="R91" s="885">
        <v>0.04</v>
      </c>
      <c r="S91" s="886"/>
      <c r="T91" s="887"/>
      <c r="U91" s="875">
        <v>0</v>
      </c>
      <c r="V91" s="694">
        <v>0.08</v>
      </c>
      <c r="W91" s="722">
        <v>0.18</v>
      </c>
      <c r="X91" s="477"/>
      <c r="Y91" s="316" t="s">
        <v>7</v>
      </c>
      <c r="Z91" s="477"/>
    </row>
    <row r="92" spans="2:26" ht="17" thickBot="1">
      <c r="B92" s="490"/>
      <c r="C92" s="371"/>
      <c r="D92" s="477"/>
      <c r="E92" s="537" t="s">
        <v>150</v>
      </c>
      <c r="F92" s="538" t="s">
        <v>0</v>
      </c>
      <c r="G92" s="557">
        <v>0</v>
      </c>
      <c r="H92" s="443"/>
      <c r="I92" s="481" t="s">
        <v>7</v>
      </c>
      <c r="J92" s="479"/>
      <c r="K92" s="478"/>
      <c r="L92" s="490">
        <f>IF(AND($Q$104="Yes",$G$20="Intermediate"),1,0)</f>
        <v>1</v>
      </c>
      <c r="M92" s="478"/>
      <c r="N92" s="279">
        <f>IF(AND($G$20="Intermediate",SUM(P92:W92)=1),1,IF(AND($G$20="Intermediate",SUM(P92:W92)&lt;&gt;1),2,0))</f>
        <v>1</v>
      </c>
      <c r="O92" s="721" t="str">
        <f>E23</f>
        <v>Exploration Costs Attributed to Project</v>
      </c>
      <c r="P92" s="850">
        <v>0</v>
      </c>
      <c r="Q92" s="877">
        <v>0</v>
      </c>
      <c r="R92" s="894">
        <v>0</v>
      </c>
      <c r="S92" s="895"/>
      <c r="T92" s="896"/>
      <c r="U92" s="875">
        <v>0.75</v>
      </c>
      <c r="V92" s="695">
        <v>0</v>
      </c>
      <c r="W92" s="722">
        <v>0.25</v>
      </c>
      <c r="X92" s="477"/>
      <c r="Y92" s="316" t="s">
        <v>7</v>
      </c>
      <c r="Z92" s="477"/>
    </row>
    <row r="93" spans="2:26" ht="17" thickBot="1">
      <c r="B93" s="490"/>
      <c r="C93" s="477"/>
      <c r="D93" s="477"/>
      <c r="E93" s="477"/>
      <c r="G93" s="477"/>
      <c r="H93" s="477"/>
      <c r="I93" s="477"/>
      <c r="J93" s="479"/>
      <c r="K93" s="478"/>
      <c r="L93" s="490"/>
      <c r="M93" s="478"/>
      <c r="N93" s="279">
        <f>IF(AND($G$20="Intermediate",SUM(P93:W93)=1),1,IF(AND($G$20="Intermediate",SUM(P93:W93)&lt;&gt;1),2,0))</f>
        <v>1</v>
      </c>
      <c r="O93" s="721" t="str">
        <f>E34</f>
        <v>Confirmation Drilling Costs</v>
      </c>
      <c r="P93" s="851">
        <v>0.34</v>
      </c>
      <c r="Q93" s="875">
        <v>0</v>
      </c>
      <c r="R93" s="885">
        <v>0</v>
      </c>
      <c r="S93" s="886"/>
      <c r="T93" s="887"/>
      <c r="U93" s="875">
        <v>0</v>
      </c>
      <c r="V93" s="694">
        <v>0.33</v>
      </c>
      <c r="W93" s="722">
        <v>0.33</v>
      </c>
      <c r="X93" s="477"/>
      <c r="Y93" s="316" t="s">
        <v>7</v>
      </c>
      <c r="Z93" s="477"/>
    </row>
    <row r="94" spans="2:26" ht="17" thickBot="1">
      <c r="B94" s="425"/>
      <c r="C94" s="478"/>
      <c r="D94" s="478"/>
      <c r="E94" s="428" t="s">
        <v>34</v>
      </c>
      <c r="F94" s="359" t="s">
        <v>264</v>
      </c>
      <c r="G94" s="408" t="s">
        <v>301</v>
      </c>
      <c r="H94" s="478"/>
      <c r="I94" s="478"/>
      <c r="J94" s="465"/>
      <c r="K94" s="478"/>
      <c r="L94" s="490"/>
      <c r="M94" s="478"/>
      <c r="N94" s="279">
        <f>IF(AND($G$20="Intermediate",SUM(P94:W94)=1),1,IF(AND($G$20="Intermediate",SUM(P94:W94)&lt;&gt;1),2,0))</f>
        <v>1</v>
      </c>
      <c r="O94" s="721" t="str">
        <f>E65</f>
        <v>Power Plant &amp; Interconnection</v>
      </c>
      <c r="P94" s="849">
        <v>1</v>
      </c>
      <c r="Q94" s="875">
        <v>0</v>
      </c>
      <c r="R94" s="885">
        <v>0</v>
      </c>
      <c r="S94" s="886"/>
      <c r="T94" s="887"/>
      <c r="U94" s="875">
        <v>0</v>
      </c>
      <c r="V94" s="695">
        <v>0</v>
      </c>
      <c r="W94" s="723">
        <v>0</v>
      </c>
      <c r="X94" s="477"/>
      <c r="Y94" s="316" t="s">
        <v>7</v>
      </c>
      <c r="Z94" s="501"/>
    </row>
    <row r="95" spans="2:26">
      <c r="B95" s="425"/>
      <c r="C95" s="478"/>
      <c r="D95" s="478"/>
      <c r="E95" s="603" t="s">
        <v>35</v>
      </c>
      <c r="F95" s="828"/>
      <c r="G95" s="604"/>
      <c r="H95" s="478"/>
      <c r="I95" s="478"/>
      <c r="J95" s="465"/>
      <c r="K95" s="478"/>
      <c r="L95" s="490"/>
      <c r="M95" s="478"/>
      <c r="N95" s="279">
        <f>IF(AND($G$20="Intermediate",SUM(P95:W95)=1),1,IF(AND($G$20="Intermediate",SUM(P95:W95)&lt;&gt;1),2,0))</f>
        <v>1</v>
      </c>
      <c r="O95" s="721" t="str">
        <f>E67</f>
        <v>Interconnection</v>
      </c>
      <c r="P95" s="849">
        <v>0</v>
      </c>
      <c r="Q95" s="875">
        <v>1</v>
      </c>
      <c r="R95" s="885">
        <v>0</v>
      </c>
      <c r="S95" s="886"/>
      <c r="T95" s="887"/>
      <c r="U95" s="875">
        <v>0</v>
      </c>
      <c r="V95" s="695">
        <v>0</v>
      </c>
      <c r="W95" s="723">
        <v>0</v>
      </c>
      <c r="X95" s="477"/>
      <c r="Y95" s="316" t="s">
        <v>7</v>
      </c>
      <c r="Z95" s="501"/>
    </row>
    <row r="96" spans="2:26">
      <c r="B96" s="425"/>
      <c r="C96" s="376"/>
      <c r="D96" s="478"/>
      <c r="E96" s="533" t="s">
        <v>39</v>
      </c>
      <c r="F96" s="469" t="s">
        <v>32</v>
      </c>
      <c r="G96" s="535">
        <v>6</v>
      </c>
      <c r="H96" s="478"/>
      <c r="I96" s="481" t="s">
        <v>7</v>
      </c>
      <c r="J96" s="465"/>
      <c r="K96" s="478"/>
      <c r="L96" s="490"/>
      <c r="M96" s="478"/>
      <c r="N96" s="279">
        <f>IF(AND($G$20="Intermediate",SUM(P96:W96)=1),1,IF(AND($G$20="Intermediate",SUM(P96:W96)&lt;&gt;1),2,0))</f>
        <v>1</v>
      </c>
      <c r="O96" s="721" t="str">
        <f>E68</f>
        <v>Reserves, Lender Fees &amp; Closing Costs</v>
      </c>
      <c r="P96" s="849">
        <v>0</v>
      </c>
      <c r="Q96" s="875">
        <v>0</v>
      </c>
      <c r="R96" s="885">
        <v>0.5</v>
      </c>
      <c r="S96" s="886"/>
      <c r="T96" s="887"/>
      <c r="U96" s="875">
        <v>0.5</v>
      </c>
      <c r="V96" s="695">
        <v>0</v>
      </c>
      <c r="W96" s="723">
        <v>0</v>
      </c>
      <c r="X96" s="477"/>
      <c r="Y96" s="316" t="s">
        <v>7</v>
      </c>
      <c r="Z96" s="501"/>
    </row>
    <row r="97" spans="1:27" ht="17" thickBot="1">
      <c r="B97" s="425"/>
      <c r="C97" s="478"/>
      <c r="D97" s="478"/>
      <c r="E97" s="525" t="s">
        <v>38</v>
      </c>
      <c r="F97" s="538" t="s">
        <v>0</v>
      </c>
      <c r="G97" s="605">
        <f>-'Cash Flow'!$G$88/12*$G$96</f>
        <v>3542585.1457514493</v>
      </c>
      <c r="H97" s="478"/>
      <c r="I97" s="481" t="s">
        <v>7</v>
      </c>
      <c r="J97" s="465"/>
      <c r="K97" s="478"/>
      <c r="L97" s="490">
        <f>IF(OR(G20="Simple",G20="Intermediate"),1,0)</f>
        <v>1</v>
      </c>
      <c r="M97" s="478"/>
      <c r="N97" s="478"/>
      <c r="O97" s="724" t="str">
        <f>IF($G$20="Complex","Click Here for Complex Input Worksheets","")</f>
        <v/>
      </c>
      <c r="P97" s="852"/>
      <c r="Q97" s="874"/>
      <c r="R97" s="888"/>
      <c r="S97" s="889"/>
      <c r="T97" s="890"/>
      <c r="U97" s="725"/>
      <c r="V97" s="726"/>
      <c r="W97" s="727"/>
      <c r="X97" s="477"/>
      <c r="Y97" s="316" t="s">
        <v>7</v>
      </c>
      <c r="Z97" s="501"/>
    </row>
    <row r="98" spans="1:27" ht="17" thickBot="1">
      <c r="B98" s="425"/>
      <c r="C98" s="478"/>
      <c r="D98" s="478"/>
      <c r="E98" s="603" t="s">
        <v>58</v>
      </c>
      <c r="F98" s="828"/>
      <c r="G98" s="606"/>
      <c r="H98" s="478"/>
      <c r="I98" s="478"/>
      <c r="J98" s="465"/>
      <c r="K98" s="478"/>
      <c r="L98" s="490"/>
      <c r="M98" s="477"/>
      <c r="N98" s="477"/>
      <c r="O98" s="477"/>
      <c r="Q98" s="477"/>
      <c r="R98" s="477"/>
      <c r="S98" s="477"/>
      <c r="T98" s="477"/>
      <c r="U98" s="477"/>
      <c r="V98" s="477"/>
      <c r="W98" s="477"/>
      <c r="X98" s="477"/>
      <c r="Y98" s="479"/>
      <c r="Z98" s="501"/>
      <c r="AA98" s="477"/>
    </row>
    <row r="99" spans="1:27" ht="17" thickBot="1">
      <c r="B99" s="425"/>
      <c r="C99" s="376"/>
      <c r="D99" s="478"/>
      <c r="E99" s="599" t="s">
        <v>36</v>
      </c>
      <c r="F99" s="469" t="s">
        <v>32</v>
      </c>
      <c r="G99" s="535">
        <v>6</v>
      </c>
      <c r="H99" s="478"/>
      <c r="I99" s="481" t="s">
        <v>7</v>
      </c>
      <c r="J99" s="465"/>
      <c r="K99" s="478"/>
      <c r="L99" s="490"/>
      <c r="M99" s="477"/>
      <c r="N99" s="477"/>
      <c r="O99" s="691" t="s">
        <v>397</v>
      </c>
      <c r="P99" s="841"/>
      <c r="Q99" s="692"/>
      <c r="R99" s="692"/>
      <c r="S99" s="692"/>
      <c r="T99" s="692"/>
      <c r="U99" s="642"/>
      <c r="V99" s="642"/>
      <c r="W99" s="702"/>
      <c r="X99" s="477"/>
      <c r="Y99" s="479"/>
    </row>
    <row r="100" spans="1:27">
      <c r="B100" s="425"/>
      <c r="C100" s="478"/>
      <c r="D100" s="478"/>
      <c r="E100" s="599" t="s">
        <v>37</v>
      </c>
      <c r="F100" s="469" t="s">
        <v>0</v>
      </c>
      <c r="G100" s="595">
        <f>-(AVERAGE('Cash Flow'!G39:AJ39)/12*$G$99)</f>
        <v>2571274.0620270707</v>
      </c>
      <c r="H100" s="478"/>
      <c r="I100" s="481" t="s">
        <v>7</v>
      </c>
      <c r="J100" s="465"/>
      <c r="L100" s="490"/>
      <c r="M100" s="477"/>
      <c r="N100" s="477"/>
      <c r="O100" s="703" t="s">
        <v>395</v>
      </c>
      <c r="P100" s="853">
        <v>0.15</v>
      </c>
      <c r="Q100" s="314"/>
      <c r="R100" s="314"/>
      <c r="S100" s="314"/>
      <c r="T100" s="314"/>
      <c r="U100" s="704" t="s">
        <v>401</v>
      </c>
      <c r="V100" s="714" t="s">
        <v>402</v>
      </c>
      <c r="W100" s="317"/>
      <c r="X100" s="477"/>
      <c r="Y100" s="316" t="s">
        <v>7</v>
      </c>
    </row>
    <row r="101" spans="1:27" ht="17" thickBot="1">
      <c r="B101" s="425"/>
      <c r="C101" s="376"/>
      <c r="D101" s="478"/>
      <c r="E101" s="601" t="s">
        <v>130</v>
      </c>
      <c r="F101" s="538" t="s">
        <v>1</v>
      </c>
      <c r="G101" s="607">
        <v>1.6E-2</v>
      </c>
      <c r="H101" s="478"/>
      <c r="I101" s="481" t="s">
        <v>7</v>
      </c>
      <c r="J101" s="465"/>
      <c r="K101" s="478"/>
      <c r="L101" s="490"/>
      <c r="M101" s="477"/>
      <c r="N101" s="477"/>
      <c r="O101" s="705" t="s">
        <v>396</v>
      </c>
      <c r="P101" s="854">
        <v>0.35</v>
      </c>
      <c r="Q101" s="74"/>
      <c r="R101" s="74"/>
      <c r="S101" s="74"/>
      <c r="T101" s="74"/>
      <c r="U101" s="690" t="s">
        <v>403</v>
      </c>
      <c r="V101" s="710">
        <v>4</v>
      </c>
      <c r="W101" s="323"/>
      <c r="X101" s="477"/>
      <c r="Y101" s="316" t="s">
        <v>7</v>
      </c>
    </row>
    <row r="102" spans="1:27" ht="17" thickBot="1">
      <c r="B102" s="490"/>
      <c r="C102" s="477"/>
      <c r="D102" s="477"/>
      <c r="E102" s="477"/>
      <c r="G102" s="477"/>
      <c r="H102" s="477"/>
      <c r="I102" s="477"/>
      <c r="J102" s="479"/>
      <c r="K102" s="478"/>
      <c r="L102" s="490"/>
      <c r="M102" s="477"/>
      <c r="N102" s="477"/>
      <c r="O102" s="477"/>
      <c r="Q102" s="477"/>
      <c r="R102" s="477"/>
      <c r="S102" s="477"/>
      <c r="T102" s="477"/>
      <c r="U102" s="478"/>
      <c r="V102" s="477"/>
      <c r="W102" s="477"/>
      <c r="X102" s="477"/>
      <c r="Y102" s="479"/>
      <c r="Z102" s="477"/>
    </row>
    <row r="103" spans="1:27" ht="17" thickBot="1">
      <c r="B103" s="490"/>
      <c r="C103" s="477"/>
      <c r="D103" s="477"/>
      <c r="E103" s="453" t="s">
        <v>221</v>
      </c>
      <c r="F103" s="829"/>
      <c r="G103" s="454"/>
      <c r="H103" s="477"/>
      <c r="I103" s="477"/>
      <c r="J103" s="479"/>
      <c r="K103" s="478"/>
      <c r="L103" s="425"/>
      <c r="M103" s="477"/>
      <c r="N103" s="477"/>
      <c r="O103" s="428" t="s">
        <v>139</v>
      </c>
      <c r="P103" s="359" t="s">
        <v>264</v>
      </c>
      <c r="Q103" s="408" t="s">
        <v>301</v>
      </c>
      <c r="R103" s="456"/>
      <c r="S103" s="480"/>
      <c r="T103" s="477"/>
      <c r="U103" s="477"/>
      <c r="V103" s="477"/>
      <c r="W103" s="477"/>
      <c r="X103" s="477"/>
      <c r="Y103" s="479"/>
      <c r="Z103" s="477"/>
    </row>
    <row r="104" spans="1:27" s="477" customFormat="1" ht="17" thickBot="1">
      <c r="A104" s="1"/>
      <c r="B104" s="490"/>
      <c r="E104" s="555" t="s">
        <v>219</v>
      </c>
      <c r="F104" s="729">
        <f>G104/$G$107</f>
        <v>0.44707168201153163</v>
      </c>
      <c r="G104" s="658">
        <f>'Cash Flow'!F85</f>
        <v>64531121.7265625</v>
      </c>
      <c r="I104" s="481" t="s">
        <v>7</v>
      </c>
      <c r="J104" s="479"/>
      <c r="K104" s="478"/>
      <c r="L104" s="490"/>
      <c r="M104" s="374"/>
      <c r="O104" s="608" t="s">
        <v>15</v>
      </c>
      <c r="P104" s="830"/>
      <c r="Q104" s="609" t="s">
        <v>12</v>
      </c>
      <c r="R104" s="457"/>
      <c r="S104" s="481" t="s">
        <v>7</v>
      </c>
      <c r="Y104" s="479"/>
    </row>
    <row r="105" spans="1:27" s="477" customFormat="1">
      <c r="B105" s="490"/>
      <c r="E105" s="533" t="s">
        <v>220</v>
      </c>
      <c r="F105" s="728">
        <f>G105/$G$107</f>
        <v>0.55292831798846842</v>
      </c>
      <c r="G105" s="633">
        <f>-'Cash Flow'!$F$55</f>
        <v>79810656.836137891</v>
      </c>
      <c r="I105" s="481" t="s">
        <v>7</v>
      </c>
      <c r="J105" s="479"/>
      <c r="K105" s="478"/>
      <c r="L105" s="425"/>
      <c r="M105" s="371"/>
      <c r="N105" s="477">
        <f>IF(OR(Q105&lt;0,Q105=""),1,0)</f>
        <v>0</v>
      </c>
      <c r="O105" s="559" t="s">
        <v>5</v>
      </c>
      <c r="P105" s="551" t="s">
        <v>1</v>
      </c>
      <c r="Q105" s="610">
        <v>0.35</v>
      </c>
      <c r="R105" s="483"/>
      <c r="S105" s="481" t="s">
        <v>7</v>
      </c>
      <c r="T105" s="355"/>
      <c r="U105" s="478"/>
      <c r="Y105" s="479"/>
    </row>
    <row r="106" spans="1:27" s="477" customFormat="1" ht="17" thickBot="1">
      <c r="B106" s="490"/>
      <c r="E106" s="659" t="s">
        <v>441</v>
      </c>
      <c r="F106" s="730">
        <f>G106/$G$107</f>
        <v>0</v>
      </c>
      <c r="G106" s="746">
        <f>IF($Q$66="Yes",$Q$65*(1-$Q$105),$Q$65)+IF($Q$83="Yes",IF($Q$82=0,($Q$81*1000*$G$6)*(1-$Q$107),MIN($Q$82*(1-$Q$107),($Q$81*1000*$G$6)*(1-$Q$107))),IF($Q$82=0,$Q$81*1000*$G$6,MIN($Q$82,$Q$81*1000*$G$6)))</f>
        <v>0</v>
      </c>
      <c r="H106" s="437"/>
      <c r="I106" s="481" t="s">
        <v>7</v>
      </c>
      <c r="J106" s="479"/>
      <c r="K106" s="478"/>
      <c r="L106" s="490"/>
      <c r="M106" s="374"/>
      <c r="O106" s="611" t="s">
        <v>255</v>
      </c>
      <c r="P106" s="831"/>
      <c r="Q106" s="612" t="s">
        <v>288</v>
      </c>
      <c r="R106" s="457"/>
      <c r="S106" s="481" t="s">
        <v>7</v>
      </c>
      <c r="Y106" s="479"/>
    </row>
    <row r="107" spans="1:27" s="477" customFormat="1" ht="18" thickTop="1" thickBot="1">
      <c r="B107" s="862"/>
      <c r="C107" s="74"/>
      <c r="D107" s="74"/>
      <c r="E107" s="660" t="s">
        <v>119</v>
      </c>
      <c r="F107" s="587" t="s">
        <v>0</v>
      </c>
      <c r="G107" s="661">
        <f>SUM(G104:G106)</f>
        <v>144341778.56270039</v>
      </c>
      <c r="H107" s="74"/>
      <c r="I107" s="863" t="s">
        <v>7</v>
      </c>
      <c r="J107" s="323"/>
      <c r="K107" s="478"/>
      <c r="L107" s="490"/>
      <c r="M107" s="371"/>
      <c r="N107" s="477">
        <f>IF(OR(Q107&lt;0,Q107=""),1,0)</f>
        <v>0</v>
      </c>
      <c r="O107" s="559" t="s">
        <v>6</v>
      </c>
      <c r="P107" s="551" t="s">
        <v>1</v>
      </c>
      <c r="Q107" s="610">
        <v>8.5000000000000006E-2</v>
      </c>
      <c r="R107" s="483"/>
      <c r="S107" s="481" t="s">
        <v>7</v>
      </c>
      <c r="T107" s="355"/>
      <c r="Y107" s="479"/>
    </row>
    <row r="108" spans="1:27" s="477" customFormat="1" ht="17" thickBot="1">
      <c r="F108" s="812"/>
      <c r="K108" s="478"/>
      <c r="L108" s="490"/>
      <c r="M108" s="374"/>
      <c r="O108" s="611" t="s">
        <v>256</v>
      </c>
      <c r="P108" s="831"/>
      <c r="Q108" s="612" t="s">
        <v>288</v>
      </c>
      <c r="R108" s="457"/>
      <c r="S108" s="481" t="s">
        <v>7</v>
      </c>
      <c r="T108" s="355"/>
      <c r="Y108" s="479"/>
    </row>
    <row r="109" spans="1:27" s="477" customFormat="1">
      <c r="F109" s="812"/>
      <c r="K109" s="478"/>
      <c r="L109" s="490"/>
      <c r="O109" s="613" t="s">
        <v>26</v>
      </c>
      <c r="P109" s="614" t="s">
        <v>1</v>
      </c>
      <c r="Q109" s="615">
        <f>IF($Q$104="Yes",$Q$105+(Q107*(1-$Q$105)),0%)</f>
        <v>0.40525</v>
      </c>
      <c r="R109" s="459"/>
      <c r="S109" s="481" t="s">
        <v>7</v>
      </c>
      <c r="T109" s="355"/>
      <c r="Y109" s="479"/>
    </row>
    <row r="110" spans="1:27" s="477" customFormat="1" ht="17" thickBot="1">
      <c r="F110" s="812"/>
      <c r="K110" s="478"/>
      <c r="L110" s="490"/>
      <c r="O110" s="525" t="s">
        <v>86</v>
      </c>
      <c r="P110" s="832"/>
      <c r="Q110" s="616" t="s">
        <v>92</v>
      </c>
      <c r="R110" s="458"/>
      <c r="S110" s="481" t="s">
        <v>7</v>
      </c>
      <c r="Y110" s="479"/>
    </row>
    <row r="111" spans="1:27" s="477" customFormat="1" ht="17" thickBot="1">
      <c r="F111" s="812"/>
      <c r="K111" s="478"/>
      <c r="L111" s="491"/>
      <c r="M111" s="74"/>
      <c r="N111" s="74"/>
      <c r="O111" s="74"/>
      <c r="P111" s="833"/>
      <c r="Q111" s="74"/>
      <c r="R111" s="74"/>
      <c r="S111" s="74"/>
      <c r="T111" s="74"/>
      <c r="U111" s="74"/>
      <c r="V111" s="74"/>
      <c r="W111" s="74"/>
      <c r="X111" s="74"/>
      <c r="Y111" s="323"/>
    </row>
    <row r="112" spans="1:27" s="477" customFormat="1">
      <c r="F112" s="812"/>
      <c r="K112" s="478"/>
      <c r="P112" s="812"/>
    </row>
    <row r="113" spans="1:26" s="477" customFormat="1" ht="17" thickBot="1">
      <c r="F113" s="812"/>
      <c r="K113" s="478"/>
      <c r="P113" s="812"/>
    </row>
    <row r="114" spans="1:26">
      <c r="A114" s="420"/>
      <c r="B114" s="361"/>
      <c r="C114" s="495"/>
      <c r="D114" s="495"/>
      <c r="E114" s="366" t="s">
        <v>265</v>
      </c>
      <c r="F114" s="834"/>
      <c r="G114" s="495"/>
      <c r="H114" s="495"/>
      <c r="I114" s="495"/>
      <c r="J114" s="495"/>
      <c r="K114" s="495"/>
      <c r="L114" s="495"/>
      <c r="M114" s="495"/>
      <c r="N114" s="495"/>
      <c r="O114" s="495"/>
      <c r="P114" s="834"/>
      <c r="Q114" s="495"/>
      <c r="R114" s="495"/>
      <c r="S114" s="495"/>
      <c r="T114" s="495"/>
      <c r="U114" s="495"/>
      <c r="V114" s="495"/>
      <c r="W114" s="495"/>
      <c r="X114" s="495"/>
      <c r="Y114" s="669"/>
      <c r="Z114" s="477"/>
    </row>
    <row r="115" spans="1:26">
      <c r="B115" s="362"/>
      <c r="C115" s="496"/>
      <c r="D115" s="496"/>
      <c r="E115" s="363" t="s">
        <v>267</v>
      </c>
      <c r="F115" s="835"/>
      <c r="G115" s="496"/>
      <c r="H115" s="496"/>
      <c r="I115" s="496"/>
      <c r="J115" s="496"/>
      <c r="K115" s="496"/>
      <c r="L115" s="496"/>
      <c r="M115" s="496"/>
      <c r="N115" s="496"/>
      <c r="O115" s="496"/>
      <c r="P115" s="835"/>
      <c r="Q115" s="496"/>
      <c r="R115" s="496"/>
      <c r="S115" s="496"/>
      <c r="T115" s="496"/>
      <c r="U115" s="496"/>
      <c r="V115" s="496"/>
      <c r="W115" s="496"/>
      <c r="X115" s="496"/>
      <c r="Y115" s="498"/>
      <c r="Z115" s="477"/>
    </row>
    <row r="116" spans="1:26">
      <c r="B116" s="362"/>
      <c r="C116" s="496"/>
      <c r="D116" s="496"/>
      <c r="E116" s="363" t="s">
        <v>268</v>
      </c>
      <c r="F116" s="835"/>
      <c r="G116" s="496"/>
      <c r="H116" s="496"/>
      <c r="I116" s="496"/>
      <c r="J116" s="496"/>
      <c r="K116" s="496"/>
      <c r="L116" s="496"/>
      <c r="M116" s="496"/>
      <c r="N116" s="496"/>
      <c r="O116" s="496"/>
      <c r="P116" s="835"/>
      <c r="Q116" s="496"/>
      <c r="R116" s="496"/>
      <c r="S116" s="496"/>
      <c r="T116" s="496"/>
      <c r="U116" s="496"/>
      <c r="V116" s="496"/>
      <c r="W116" s="496"/>
      <c r="X116" s="496"/>
      <c r="Y116" s="498"/>
      <c r="Z116" s="477"/>
    </row>
    <row r="117" spans="1:26">
      <c r="B117" s="362"/>
      <c r="C117" s="496"/>
      <c r="D117" s="496"/>
      <c r="E117" s="363" t="s">
        <v>269</v>
      </c>
      <c r="F117" s="835"/>
      <c r="G117" s="496"/>
      <c r="H117" s="496"/>
      <c r="I117" s="496"/>
      <c r="J117" s="496"/>
      <c r="K117" s="496"/>
      <c r="L117" s="496"/>
      <c r="M117" s="496"/>
      <c r="N117" s="496"/>
      <c r="O117" s="496"/>
      <c r="P117" s="835"/>
      <c r="Q117" s="496"/>
      <c r="R117" s="496"/>
      <c r="S117" s="496"/>
      <c r="T117" s="496"/>
      <c r="U117" s="496"/>
      <c r="V117" s="496"/>
      <c r="W117" s="496"/>
      <c r="X117" s="496"/>
      <c r="Y117" s="498"/>
      <c r="Z117" s="477"/>
    </row>
    <row r="118" spans="1:26">
      <c r="B118" s="362"/>
      <c r="C118" s="496"/>
      <c r="D118" s="496"/>
      <c r="E118" s="363" t="s">
        <v>270</v>
      </c>
      <c r="F118" s="835"/>
      <c r="G118" s="496"/>
      <c r="H118" s="496"/>
      <c r="I118" s="496"/>
      <c r="J118" s="496"/>
      <c r="K118" s="496"/>
      <c r="L118" s="497"/>
      <c r="M118" s="496"/>
      <c r="N118" s="496"/>
      <c r="O118" s="496"/>
      <c r="P118" s="835"/>
      <c r="Q118" s="496"/>
      <c r="R118" s="496"/>
      <c r="S118" s="496"/>
      <c r="T118" s="496"/>
      <c r="U118" s="667"/>
      <c r="V118" s="496"/>
      <c r="W118" s="496"/>
      <c r="X118" s="496"/>
      <c r="Y118" s="498"/>
      <c r="Z118" s="477"/>
    </row>
    <row r="119" spans="1:26">
      <c r="B119" s="362"/>
      <c r="C119" s="496"/>
      <c r="D119" s="496"/>
      <c r="E119" s="363" t="s">
        <v>284</v>
      </c>
      <c r="F119" s="835"/>
      <c r="G119" s="496"/>
      <c r="H119" s="496"/>
      <c r="I119" s="496"/>
      <c r="J119" s="496"/>
      <c r="K119" s="496"/>
      <c r="L119" s="496"/>
      <c r="M119" s="496"/>
      <c r="N119" s="496"/>
      <c r="O119" s="496"/>
      <c r="P119" s="835"/>
      <c r="Q119" s="496"/>
      <c r="R119" s="496"/>
      <c r="S119" s="496"/>
      <c r="T119" s="496"/>
      <c r="U119" s="668"/>
      <c r="V119" s="496"/>
      <c r="W119" s="496"/>
      <c r="X119" s="496"/>
      <c r="Y119" s="498"/>
      <c r="Z119" s="477"/>
    </row>
    <row r="120" spans="1:26">
      <c r="B120" s="362"/>
      <c r="C120" s="496"/>
      <c r="D120" s="496"/>
      <c r="E120" s="363" t="s">
        <v>285</v>
      </c>
      <c r="F120" s="835"/>
      <c r="G120" s="496"/>
      <c r="H120" s="496"/>
      <c r="I120" s="496"/>
      <c r="J120" s="496"/>
      <c r="K120" s="496"/>
      <c r="L120" s="496"/>
      <c r="M120" s="496"/>
      <c r="N120" s="496"/>
      <c r="O120" s="496"/>
      <c r="P120" s="835"/>
      <c r="Q120" s="496"/>
      <c r="R120" s="496"/>
      <c r="S120" s="496"/>
      <c r="T120" s="496"/>
      <c r="U120" s="497"/>
      <c r="V120" s="496"/>
      <c r="W120" s="496"/>
      <c r="X120" s="496"/>
      <c r="Y120" s="498"/>
      <c r="Z120" s="477"/>
    </row>
    <row r="121" spans="1:26">
      <c r="B121" s="362"/>
      <c r="C121" s="496"/>
      <c r="D121" s="496"/>
      <c r="E121" s="363" t="s">
        <v>271</v>
      </c>
      <c r="F121" s="835"/>
      <c r="G121" s="496"/>
      <c r="H121" s="496"/>
      <c r="I121" s="496"/>
      <c r="J121" s="496"/>
      <c r="K121" s="496"/>
      <c r="L121" s="496"/>
      <c r="M121" s="496"/>
      <c r="N121" s="496"/>
      <c r="O121" s="496"/>
      <c r="P121" s="835"/>
      <c r="Q121" s="496"/>
      <c r="R121" s="496"/>
      <c r="S121" s="496"/>
      <c r="T121" s="496"/>
      <c r="U121" s="497"/>
      <c r="V121" s="496"/>
      <c r="W121" s="496"/>
      <c r="X121" s="496"/>
      <c r="Y121" s="498"/>
      <c r="Z121" s="477"/>
    </row>
    <row r="122" spans="1:26">
      <c r="B122" s="362"/>
      <c r="C122" s="496"/>
      <c r="D122" s="496"/>
      <c r="E122" s="363" t="s">
        <v>272</v>
      </c>
      <c r="F122" s="835"/>
      <c r="G122" s="496"/>
      <c r="H122" s="496"/>
      <c r="I122" s="496"/>
      <c r="J122" s="496"/>
      <c r="K122" s="497"/>
      <c r="L122" s="496"/>
      <c r="M122" s="496"/>
      <c r="N122" s="496"/>
      <c r="O122" s="496"/>
      <c r="P122" s="835"/>
      <c r="Q122" s="496"/>
      <c r="R122" s="496"/>
      <c r="S122" s="496"/>
      <c r="T122" s="496"/>
      <c r="U122" s="497"/>
      <c r="V122" s="496"/>
      <c r="W122" s="496"/>
      <c r="X122" s="496"/>
      <c r="Y122" s="498"/>
      <c r="Z122" s="477"/>
    </row>
    <row r="123" spans="1:26">
      <c r="B123" s="362"/>
      <c r="C123" s="496"/>
      <c r="D123" s="496"/>
      <c r="E123" s="363" t="s">
        <v>273</v>
      </c>
      <c r="F123" s="835"/>
      <c r="G123" s="496"/>
      <c r="H123" s="496"/>
      <c r="I123" s="496"/>
      <c r="J123" s="496"/>
      <c r="K123" s="497"/>
      <c r="L123" s="496"/>
      <c r="M123" s="496"/>
      <c r="N123" s="496"/>
      <c r="O123" s="496"/>
      <c r="P123" s="835"/>
      <c r="Q123" s="496"/>
      <c r="R123" s="496"/>
      <c r="S123" s="496"/>
      <c r="T123" s="496"/>
      <c r="U123" s="497"/>
      <c r="V123" s="496"/>
      <c r="W123" s="496"/>
      <c r="X123" s="496"/>
      <c r="Y123" s="498"/>
      <c r="Z123" s="477"/>
    </row>
    <row r="124" spans="1:26">
      <c r="B124" s="362"/>
      <c r="C124" s="496"/>
      <c r="D124" s="496"/>
      <c r="E124" s="363" t="s">
        <v>274</v>
      </c>
      <c r="F124" s="835"/>
      <c r="G124" s="496"/>
      <c r="H124" s="496"/>
      <c r="I124" s="496"/>
      <c r="J124" s="496"/>
      <c r="K124" s="497"/>
      <c r="L124" s="496"/>
      <c r="M124" s="496"/>
      <c r="N124" s="496"/>
      <c r="O124" s="496"/>
      <c r="P124" s="835"/>
      <c r="Q124" s="496"/>
      <c r="R124" s="496"/>
      <c r="S124" s="496"/>
      <c r="T124" s="496"/>
      <c r="U124" s="496"/>
      <c r="V124" s="496"/>
      <c r="W124" s="496"/>
      <c r="X124" s="496"/>
      <c r="Y124" s="498"/>
      <c r="Z124" s="477"/>
    </row>
    <row r="125" spans="1:26">
      <c r="B125" s="362"/>
      <c r="C125" s="496"/>
      <c r="D125" s="496"/>
      <c r="E125" s="363" t="s">
        <v>275</v>
      </c>
      <c r="F125" s="835"/>
      <c r="G125" s="496"/>
      <c r="H125" s="496"/>
      <c r="I125" s="496"/>
      <c r="J125" s="496"/>
      <c r="K125" s="497"/>
      <c r="L125" s="496"/>
      <c r="M125" s="496"/>
      <c r="N125" s="496"/>
      <c r="O125" s="496"/>
      <c r="P125" s="835"/>
      <c r="Q125" s="496"/>
      <c r="R125" s="496"/>
      <c r="S125" s="496"/>
      <c r="T125" s="496"/>
      <c r="U125" s="497"/>
      <c r="V125" s="496"/>
      <c r="W125" s="496"/>
      <c r="X125" s="496"/>
      <c r="Y125" s="498"/>
      <c r="Z125" s="477"/>
    </row>
    <row r="126" spans="1:26" ht="17" thickBot="1">
      <c r="B126" s="364"/>
      <c r="C126" s="499"/>
      <c r="D126" s="499"/>
      <c r="E126" s="365" t="s">
        <v>266</v>
      </c>
      <c r="F126" s="836"/>
      <c r="G126" s="499"/>
      <c r="H126" s="499"/>
      <c r="I126" s="499"/>
      <c r="J126" s="499"/>
      <c r="K126" s="499"/>
      <c r="L126" s="499"/>
      <c r="M126" s="499"/>
      <c r="N126" s="499"/>
      <c r="O126" s="499"/>
      <c r="P126" s="836"/>
      <c r="Q126" s="499"/>
      <c r="R126" s="499"/>
      <c r="S126" s="499"/>
      <c r="T126" s="499"/>
      <c r="U126" s="499"/>
      <c r="V126" s="499"/>
      <c r="W126" s="499"/>
      <c r="X126" s="499"/>
      <c r="Y126" s="500"/>
      <c r="Z126" s="477"/>
    </row>
    <row r="127" spans="1:26">
      <c r="K127" s="501"/>
      <c r="Z127" s="477"/>
    </row>
    <row r="128" spans="1:26">
      <c r="K128" s="501"/>
      <c r="Z128" s="477"/>
    </row>
    <row r="129" spans="1:26">
      <c r="K129" s="501"/>
      <c r="L129" s="501"/>
      <c r="M129" s="677"/>
      <c r="N129" s="501"/>
      <c r="O129" s="501"/>
      <c r="P129" s="837"/>
      <c r="Q129" s="501"/>
      <c r="R129" s="501"/>
      <c r="S129" s="501"/>
      <c r="T129" s="501"/>
      <c r="U129" s="501"/>
      <c r="V129" s="501"/>
      <c r="W129" s="501"/>
      <c r="X129" s="501"/>
      <c r="Y129" s="501"/>
      <c r="Z129" s="477"/>
    </row>
    <row r="130" spans="1:26">
      <c r="K130" s="501"/>
      <c r="L130" s="501"/>
      <c r="M130" s="501"/>
      <c r="N130" s="501"/>
      <c r="O130" s="501"/>
      <c r="P130" s="837"/>
      <c r="Q130" s="501"/>
      <c r="R130" s="501"/>
      <c r="S130" s="501"/>
      <c r="T130" s="501"/>
      <c r="U130" s="501"/>
      <c r="V130" s="501"/>
      <c r="W130" s="501"/>
      <c r="X130" s="501"/>
      <c r="Y130" s="501"/>
      <c r="Z130" s="477"/>
    </row>
    <row r="131" spans="1:26">
      <c r="K131" s="501"/>
      <c r="T131" s="369">
        <f>IF(AND($Q$55="Cost-Based",$Q$56="ITC"),1,0)</f>
        <v>1</v>
      </c>
      <c r="U131" s="501"/>
      <c r="V131" s="501"/>
      <c r="W131" s="501"/>
      <c r="X131" s="501"/>
      <c r="Y131" s="501"/>
    </row>
    <row r="132" spans="1:26">
      <c r="K132" s="501"/>
      <c r="T132" s="478"/>
    </row>
    <row r="133" spans="1:26">
      <c r="K133" s="501"/>
      <c r="T133" s="478"/>
    </row>
    <row r="134" spans="1:26">
      <c r="K134" s="501"/>
      <c r="T134" s="9"/>
    </row>
    <row r="135" spans="1:26">
      <c r="K135" s="501"/>
      <c r="L135" s="501"/>
      <c r="M135" s="501"/>
      <c r="N135" s="501"/>
      <c r="O135" s="501"/>
      <c r="P135" s="837"/>
      <c r="Q135" s="501"/>
      <c r="R135" s="501"/>
      <c r="S135" s="501"/>
      <c r="T135" s="501"/>
      <c r="U135" s="501"/>
      <c r="V135" s="501"/>
      <c r="W135" s="501"/>
      <c r="X135" s="501"/>
      <c r="Y135" s="501"/>
    </row>
    <row r="136" spans="1:26">
      <c r="K136" s="501"/>
      <c r="L136" s="501"/>
      <c r="M136" s="501"/>
      <c r="N136" s="501"/>
      <c r="O136" s="501"/>
      <c r="P136" s="837"/>
      <c r="Q136" s="501"/>
      <c r="R136" s="501"/>
      <c r="S136" s="501"/>
      <c r="T136" s="501"/>
      <c r="U136" s="501"/>
      <c r="V136" s="501"/>
      <c r="W136" s="501"/>
      <c r="X136" s="501"/>
      <c r="Y136" s="501"/>
    </row>
    <row r="137" spans="1:26">
      <c r="A137" s="501"/>
      <c r="B137" s="501"/>
      <c r="C137" s="501"/>
      <c r="D137" s="501"/>
      <c r="E137" s="501"/>
      <c r="F137" s="837"/>
      <c r="G137" s="501"/>
      <c r="H137" s="501"/>
      <c r="I137" s="501"/>
      <c r="J137" s="501"/>
      <c r="K137" s="501"/>
      <c r="L137" s="501"/>
      <c r="M137" s="501"/>
      <c r="N137" s="501"/>
      <c r="O137" s="501"/>
      <c r="P137" s="837"/>
      <c r="Q137" s="501"/>
      <c r="R137" s="501"/>
      <c r="S137" s="501"/>
      <c r="T137" s="501"/>
      <c r="U137" s="501"/>
      <c r="V137" s="501"/>
      <c r="W137" s="501"/>
      <c r="X137" s="501"/>
      <c r="Y137" s="501"/>
    </row>
    <row r="138" spans="1:26">
      <c r="A138" s="501"/>
      <c r="B138" s="501"/>
      <c r="C138" s="501"/>
      <c r="D138" s="501"/>
      <c r="E138" s="501"/>
      <c r="F138" s="837"/>
      <c r="G138" s="501"/>
      <c r="H138" s="501"/>
      <c r="I138" s="501"/>
      <c r="J138" s="501"/>
      <c r="K138" s="501"/>
      <c r="L138" s="501"/>
      <c r="M138" s="501"/>
      <c r="N138" s="501"/>
      <c r="O138" s="501"/>
      <c r="P138" s="837"/>
      <c r="Q138" s="501"/>
      <c r="R138" s="501"/>
      <c r="S138" s="501"/>
      <c r="T138" s="501"/>
      <c r="U138" s="501"/>
      <c r="V138" s="501"/>
      <c r="W138" s="501"/>
      <c r="X138" s="501"/>
      <c r="Y138" s="501"/>
    </row>
    <row r="147" spans="5:5">
      <c r="E147" s="788"/>
    </row>
  </sheetData>
  <protectedRanges>
    <protectedRange sqref="P86:P87 U92 W92 P93:W93 P94:U96 P100:P101 V100:V101" name="Depreciation Inputs"/>
    <protectedRange sqref="Q6:Q8 Q11:Q13 Q17 Q20:Q22 Q24:Q25 Q27:Q28 Q30 Q32:Q36 Q40:Q47 Q51:Q52 Q74 Q76:Q77 Q60:Q61 Q55:Q57 Q69:Q70 Q63:Q66 Q72 Q79:Q83" name="Inputs Set 2"/>
    <protectedRange sqref="G6:G7 G9:G10 G12 G14:G15 G17 G20:G21 G65 G67 G54 G79:G83 G86 G90 G92 G96 G99 G101 Q104:Q108 G59:G63 G24:G28 G30 G35:G41 G43 G52 G53 G56" name="Inputs Set 1"/>
    <protectedRange sqref="Q81" name="Column Q Inputs"/>
  </protectedRanges>
  <mergeCells count="10">
    <mergeCell ref="C2:T2"/>
    <mergeCell ref="O4:P4"/>
    <mergeCell ref="R95:T95"/>
    <mergeCell ref="R96:T96"/>
    <mergeCell ref="R97:T97"/>
    <mergeCell ref="R90:T90"/>
    <mergeCell ref="R91:T91"/>
    <mergeCell ref="R92:T92"/>
    <mergeCell ref="R93:T93"/>
    <mergeCell ref="R94:T94"/>
  </mergeCells>
  <conditionalFormatting sqref="C20">
    <cfRule type="expression" dxfId="202" priority="194">
      <formula>$G$20="(use dropdown)"</formula>
    </cfRule>
    <cfRule type="expression" dxfId="201" priority="816">
      <formula>$G$20&lt;&gt;""</formula>
    </cfRule>
  </conditionalFormatting>
  <conditionalFormatting sqref="M8">
    <cfRule type="expression" dxfId="200" priority="653">
      <formula>$Q$8&lt;&gt;""</formula>
    </cfRule>
  </conditionalFormatting>
  <conditionalFormatting sqref="M7">
    <cfRule type="expression" dxfId="199" priority="652">
      <formula>$Q$7&lt;&gt;""</formula>
    </cfRule>
  </conditionalFormatting>
  <conditionalFormatting sqref="G85">
    <cfRule type="expression" dxfId="198" priority="615">
      <formula>$G$85="Fail"</formula>
    </cfRule>
  </conditionalFormatting>
  <conditionalFormatting sqref="O52:Q52 S52">
    <cfRule type="expression" dxfId="197" priority="610">
      <formula>$Q$51="Salvage"</formula>
    </cfRule>
  </conditionalFormatting>
  <conditionalFormatting sqref="G88">
    <cfRule type="expression" dxfId="196" priority="556">
      <formula>$G$88="Fail"</formula>
    </cfRule>
  </conditionalFormatting>
  <conditionalFormatting sqref="G21">
    <cfRule type="expression" dxfId="195" priority="520">
      <formula>$G$20="Simple"</formula>
    </cfRule>
  </conditionalFormatting>
  <conditionalFormatting sqref="O12:P12">
    <cfRule type="expression" dxfId="194" priority="495">
      <formula>$T$12=1</formula>
    </cfRule>
  </conditionalFormatting>
  <conditionalFormatting sqref="O13:P13">
    <cfRule type="expression" dxfId="193" priority="494">
      <formula>$T$13=1</formula>
    </cfRule>
  </conditionalFormatting>
  <conditionalFormatting sqref="O14">
    <cfRule type="expression" dxfId="192" priority="493">
      <formula>$T$14=1</formula>
    </cfRule>
  </conditionalFormatting>
  <conditionalFormatting sqref="Q12">
    <cfRule type="expression" dxfId="191" priority="490">
      <formula>$T$12=1</formula>
    </cfRule>
  </conditionalFormatting>
  <conditionalFormatting sqref="Q13">
    <cfRule type="expression" dxfId="190" priority="489">
      <formula>$T$13=1</formula>
    </cfRule>
  </conditionalFormatting>
  <conditionalFormatting sqref="P14:Q14">
    <cfRule type="expression" dxfId="189" priority="488">
      <formula>$T$14=1</formula>
    </cfRule>
  </conditionalFormatting>
  <conditionalFormatting sqref="O11:P11">
    <cfRule type="expression" dxfId="188" priority="486">
      <formula>$T$11=1</formula>
    </cfRule>
  </conditionalFormatting>
  <conditionalFormatting sqref="Q11">
    <cfRule type="expression" dxfId="187" priority="485">
      <formula>$T$11=1</formula>
    </cfRule>
  </conditionalFormatting>
  <conditionalFormatting sqref="O59:Q59 S59 O56:Q57 S56:S57">
    <cfRule type="expression" dxfId="186" priority="473">
      <formula>$T$55=1</formula>
    </cfRule>
  </conditionalFormatting>
  <conditionalFormatting sqref="O74:Q75 S79:S80 S77 S74:S75 O79:Q80 O77:Q77">
    <cfRule type="expression" dxfId="185" priority="469">
      <formula>$R$74=1</formula>
    </cfRule>
  </conditionalFormatting>
  <conditionalFormatting sqref="S36:S37 S30:S35">
    <cfRule type="expression" dxfId="184" priority="458">
      <formula>$Q$17="Intermediate"</formula>
    </cfRule>
  </conditionalFormatting>
  <conditionalFormatting sqref="E21:F21">
    <cfRule type="expression" dxfId="183" priority="452">
      <formula>$G$20="Simple"</formula>
    </cfRule>
  </conditionalFormatting>
  <conditionalFormatting sqref="O76:Q76 S76">
    <cfRule type="expression" dxfId="182" priority="2350">
      <formula>$T$77=1</formula>
    </cfRule>
  </conditionalFormatting>
  <conditionalFormatting sqref="S11">
    <cfRule type="expression" dxfId="181" priority="437">
      <formula>$T$11=1</formula>
    </cfRule>
  </conditionalFormatting>
  <conditionalFormatting sqref="S12">
    <cfRule type="expression" dxfId="180" priority="436">
      <formula>$T$12=1</formula>
    </cfRule>
  </conditionalFormatting>
  <conditionalFormatting sqref="S13">
    <cfRule type="expression" dxfId="179" priority="435">
      <formula>$T$13=1</formula>
    </cfRule>
  </conditionalFormatting>
  <conditionalFormatting sqref="S14">
    <cfRule type="expression" dxfId="178" priority="434">
      <formula>$T$14=1</formula>
    </cfRule>
  </conditionalFormatting>
  <conditionalFormatting sqref="E91:G91">
    <cfRule type="expression" dxfId="177" priority="431">
      <formula>$G$79=0%</formula>
    </cfRule>
  </conditionalFormatting>
  <conditionalFormatting sqref="M6">
    <cfRule type="expression" dxfId="176" priority="425">
      <formula>$N$6=1</formula>
    </cfRule>
  </conditionalFormatting>
  <conditionalFormatting sqref="M17">
    <cfRule type="expression" dxfId="175" priority="416">
      <formula>$Q$17&lt;&gt;""</formula>
    </cfRule>
  </conditionalFormatting>
  <conditionalFormatting sqref="M11">
    <cfRule type="expression" dxfId="174" priority="379">
      <formula>$Q$11=""</formula>
    </cfRule>
  </conditionalFormatting>
  <conditionalFormatting sqref="M12">
    <cfRule type="expression" dxfId="173" priority="378">
      <formula>$N$12=1</formula>
    </cfRule>
  </conditionalFormatting>
  <conditionalFormatting sqref="M13">
    <cfRule type="expression" dxfId="172" priority="377">
      <formula>$N$13=1</formula>
    </cfRule>
  </conditionalFormatting>
  <conditionalFormatting sqref="M55">
    <cfRule type="expression" dxfId="171" priority="376">
      <formula>$Q$55=""</formula>
    </cfRule>
  </conditionalFormatting>
  <conditionalFormatting sqref="M56">
    <cfRule type="expression" dxfId="170" priority="375">
      <formula>$Q$56=""</formula>
    </cfRule>
  </conditionalFormatting>
  <conditionalFormatting sqref="M60">
    <cfRule type="expression" dxfId="169" priority="374">
      <formula>$Q$60=""</formula>
    </cfRule>
  </conditionalFormatting>
  <conditionalFormatting sqref="M51 M57 M83 M66 M69:M70 M74">
    <cfRule type="expression" dxfId="168" priority="373">
      <formula>$N51=1</formula>
    </cfRule>
  </conditionalFormatting>
  <conditionalFormatting sqref="M61">
    <cfRule type="expression" dxfId="167" priority="365">
      <formula>$Q$61&lt;0</formula>
    </cfRule>
  </conditionalFormatting>
  <conditionalFormatting sqref="M63">
    <cfRule type="expression" dxfId="166" priority="364">
      <formula>$N$63=1</formula>
    </cfRule>
  </conditionalFormatting>
  <conditionalFormatting sqref="M64">
    <cfRule type="expression" dxfId="165" priority="363">
      <formula>$Q$64=""</formula>
    </cfRule>
  </conditionalFormatting>
  <conditionalFormatting sqref="M81 M65">
    <cfRule type="expression" dxfId="164" priority="361">
      <formula>$Q65&lt;0</formula>
    </cfRule>
  </conditionalFormatting>
  <conditionalFormatting sqref="M40 M44">
    <cfRule type="expression" dxfId="163" priority="359">
      <formula>$N40=1</formula>
    </cfRule>
  </conditionalFormatting>
  <conditionalFormatting sqref="M72">
    <cfRule type="expression" dxfId="162" priority="357">
      <formula>$N$72=1</formula>
    </cfRule>
  </conditionalFormatting>
  <conditionalFormatting sqref="M77">
    <cfRule type="expression" dxfId="161" priority="356">
      <formula>$Q$77&lt;0</formula>
    </cfRule>
  </conditionalFormatting>
  <conditionalFormatting sqref="M79">
    <cfRule type="expression" dxfId="160" priority="355">
      <formula>$N$79=1</formula>
    </cfRule>
  </conditionalFormatting>
  <conditionalFormatting sqref="M80">
    <cfRule type="expression" dxfId="159" priority="354">
      <formula>$Q$80=""</formula>
    </cfRule>
  </conditionalFormatting>
  <conditionalFormatting sqref="M42 M46">
    <cfRule type="expression" dxfId="158" priority="350">
      <formula>$Q42&gt;=0</formula>
    </cfRule>
  </conditionalFormatting>
  <conditionalFormatting sqref="M52">
    <cfRule type="expression" dxfId="157" priority="338">
      <formula>$Q$51="Salvage"</formula>
    </cfRule>
    <cfRule type="expression" dxfId="156" priority="348">
      <formula>$Q$52&lt;0</formula>
    </cfRule>
  </conditionalFormatting>
  <conditionalFormatting sqref="C101">
    <cfRule type="expression" dxfId="155" priority="345">
      <formula>$G$101&lt;0</formula>
    </cfRule>
  </conditionalFormatting>
  <conditionalFormatting sqref="M56:M57">
    <cfRule type="expression" dxfId="154" priority="344">
      <formula>$Q$55="Performance-Based"</formula>
    </cfRule>
  </conditionalFormatting>
  <conditionalFormatting sqref="M91">
    <cfRule type="expression" dxfId="153" priority="334">
      <formula>$N$91=2</formula>
    </cfRule>
    <cfRule type="expression" dxfId="152" priority="335">
      <formula>$N$91=1</formula>
    </cfRule>
  </conditionalFormatting>
  <conditionalFormatting sqref="M92:M96">
    <cfRule type="expression" dxfId="151" priority="330">
      <formula>$N92=2</formula>
    </cfRule>
    <cfRule type="expression" dxfId="150" priority="331">
      <formula>$N92=1</formula>
    </cfRule>
  </conditionalFormatting>
  <conditionalFormatting sqref="Y91 O91:R91 U91:W91">
    <cfRule type="expression" dxfId="149" priority="329">
      <formula>$L91=0</formula>
    </cfRule>
  </conditionalFormatting>
  <conditionalFormatting sqref="C67 C96 C99">
    <cfRule type="expression" dxfId="148" priority="322">
      <formula>$G67&lt;0</formula>
    </cfRule>
  </conditionalFormatting>
  <conditionalFormatting sqref="S105:S110 O105:Q110">
    <cfRule type="expression" dxfId="147" priority="2608">
      <formula>$Q$104="No"</formula>
    </cfRule>
  </conditionalFormatting>
  <conditionalFormatting sqref="I85 I88">
    <cfRule type="expression" dxfId="146" priority="291">
      <formula>$G85="Fail"</formula>
    </cfRule>
  </conditionalFormatting>
  <conditionalFormatting sqref="E85">
    <cfRule type="expression" dxfId="145" priority="286">
      <formula>$G$85="Fail"</formula>
    </cfRule>
  </conditionalFormatting>
  <conditionalFormatting sqref="E88">
    <cfRule type="expression" dxfId="144" priority="285">
      <formula>$G$88="Fail"</formula>
    </cfRule>
  </conditionalFormatting>
  <conditionalFormatting sqref="C7">
    <cfRule type="expression" dxfId="143" priority="284">
      <formula>$G$7&gt;0</formula>
    </cfRule>
  </conditionalFormatting>
  <conditionalFormatting sqref="E15:G15 I15">
    <cfRule type="expression" dxfId="142" priority="271">
      <formula>$G$14="Year-by-Year"</formula>
    </cfRule>
  </conditionalFormatting>
  <conditionalFormatting sqref="E16:G16 I16">
    <cfRule type="expression" dxfId="141" priority="270">
      <formula>$G$14="Annual"</formula>
    </cfRule>
  </conditionalFormatting>
  <conditionalFormatting sqref="E11:G11 I11">
    <cfRule type="expression" dxfId="140" priority="268">
      <formula>$G$9="Annual"</formula>
    </cfRule>
  </conditionalFormatting>
  <conditionalFormatting sqref="C20:C21">
    <cfRule type="expression" dxfId="139" priority="267">
      <formula>$G$20&lt;&gt;"(use dropdown)"</formula>
    </cfRule>
  </conditionalFormatting>
  <conditionalFormatting sqref="C21">
    <cfRule type="expression" dxfId="138" priority="15" stopIfTrue="1">
      <formula>$G$20="Complex"</formula>
    </cfRule>
    <cfRule type="expression" dxfId="137" priority="258">
      <formula>AND($G$20="Simple",$G$21&gt;0)</formula>
    </cfRule>
    <cfRule type="expression" dxfId="136" priority="259">
      <formula>AND($G$20="Simple",$G$21&lt;=0)</formula>
    </cfRule>
  </conditionalFormatting>
  <conditionalFormatting sqref="C10">
    <cfRule type="expression" dxfId="135" priority="213">
      <formula>AND($G$10&gt;=0,$G$10&lt;=1)</formula>
    </cfRule>
    <cfRule type="expression" dxfId="134" priority="254">
      <formula>OR($G$10&lt;0,$G$10&gt;1)</formula>
    </cfRule>
  </conditionalFormatting>
  <conditionalFormatting sqref="M20">
    <cfRule type="expression" dxfId="133" priority="169">
      <formula>$Q$20&lt;0</formula>
    </cfRule>
    <cfRule type="expression" dxfId="132" priority="248">
      <formula>$Q$20&gt;=0</formula>
    </cfRule>
  </conditionalFormatting>
  <conditionalFormatting sqref="M21">
    <cfRule type="expression" dxfId="131" priority="247">
      <formula>$Q$21&lt;0</formula>
    </cfRule>
  </conditionalFormatting>
  <conditionalFormatting sqref="M24">
    <cfRule type="expression" dxfId="130" priority="166">
      <formula>$Q$24&lt;0</formula>
    </cfRule>
    <cfRule type="expression" dxfId="129" priority="244">
      <formula>$Q$24&gt;=0</formula>
    </cfRule>
  </conditionalFormatting>
  <conditionalFormatting sqref="C86">
    <cfRule type="expression" dxfId="128" priority="3966">
      <formula>$G$86&lt;1</formula>
    </cfRule>
  </conditionalFormatting>
  <conditionalFormatting sqref="M110">
    <cfRule type="expression" dxfId="127" priority="3969">
      <formula>$Q$106=""</formula>
    </cfRule>
  </conditionalFormatting>
  <conditionalFormatting sqref="M109">
    <cfRule type="expression" dxfId="126" priority="3971">
      <formula>$Q$104="No"</formula>
    </cfRule>
    <cfRule type="expression" dxfId="125" priority="3972">
      <formula>$N$105=1</formula>
    </cfRule>
  </conditionalFormatting>
  <conditionalFormatting sqref="C92 C85:C86 C88 C82">
    <cfRule type="expression" dxfId="124" priority="3982">
      <formula>$G$79=0</formula>
    </cfRule>
  </conditionalFormatting>
  <conditionalFormatting sqref="M108">
    <cfRule type="expression" dxfId="123" priority="3986">
      <formula>$Q$104=""</formula>
    </cfRule>
  </conditionalFormatting>
  <conditionalFormatting sqref="M106">
    <cfRule type="expression" dxfId="122" priority="224">
      <formula>#REF!=""</formula>
    </cfRule>
  </conditionalFormatting>
  <conditionalFormatting sqref="C9">
    <cfRule type="expression" dxfId="121" priority="212">
      <formula>$G$9&lt;&gt;""</formula>
    </cfRule>
  </conditionalFormatting>
  <conditionalFormatting sqref="C14">
    <cfRule type="expression" dxfId="120" priority="211">
      <formula>$G$14&lt;&gt;""</formula>
    </cfRule>
  </conditionalFormatting>
  <conditionalFormatting sqref="C15">
    <cfRule type="expression" dxfId="119" priority="208">
      <formula>$G$15&gt;=0</formula>
    </cfRule>
    <cfRule type="expression" dxfId="118" priority="209">
      <formula>$G$15&lt;0</formula>
    </cfRule>
  </conditionalFormatting>
  <conditionalFormatting sqref="M43">
    <cfRule type="expression" dxfId="117" priority="206">
      <formula>$Q$43&gt;=0</formula>
    </cfRule>
    <cfRule type="expression" dxfId="116" priority="207">
      <formula>$Q$43&lt;0</formula>
    </cfRule>
  </conditionalFormatting>
  <conditionalFormatting sqref="M47">
    <cfRule type="expression" dxfId="115" priority="204">
      <formula>$Q$47&gt;=0</formula>
    </cfRule>
    <cfRule type="expression" dxfId="114" priority="205">
      <formula>$Q$47&lt;0</formula>
    </cfRule>
  </conditionalFormatting>
  <conditionalFormatting sqref="C25">
    <cfRule type="expression" dxfId="113" priority="199">
      <formula>OR($G$25&lt;0,$G$25&gt;1)</formula>
    </cfRule>
    <cfRule type="expression" dxfId="112" priority="200">
      <formula>AND($G$25&gt;=0,$G$25&lt;=1)</formula>
    </cfRule>
  </conditionalFormatting>
  <conditionalFormatting sqref="C27">
    <cfRule type="expression" dxfId="111" priority="197">
      <formula>$G$27&lt;0</formula>
    </cfRule>
    <cfRule type="expression" dxfId="110" priority="198">
      <formula>$G$27&gt;=0</formula>
    </cfRule>
  </conditionalFormatting>
  <conditionalFormatting sqref="C28">
    <cfRule type="expression" dxfId="109" priority="195">
      <formula>$G$28&lt;0</formula>
    </cfRule>
    <cfRule type="expression" dxfId="108" priority="196">
      <formula>$G$28&gt;=0</formula>
    </cfRule>
  </conditionalFormatting>
  <conditionalFormatting sqref="C35">
    <cfRule type="expression" dxfId="107" priority="190">
      <formula>OR($G$35&lt;0,$G$35&gt;1)</formula>
    </cfRule>
  </conditionalFormatting>
  <conditionalFormatting sqref="C37">
    <cfRule type="expression" dxfId="106" priority="188">
      <formula>$G$37&lt;0</formula>
    </cfRule>
  </conditionalFormatting>
  <conditionalFormatting sqref="C38">
    <cfRule type="expression" dxfId="105" priority="186">
      <formula>$G$38&lt;0</formula>
    </cfRule>
  </conditionalFormatting>
  <conditionalFormatting sqref="C59">
    <cfRule type="expression" dxfId="104" priority="182">
      <formula>$G$59&lt;0</formula>
    </cfRule>
  </conditionalFormatting>
  <conditionalFormatting sqref="C61">
    <cfRule type="expression" dxfId="103" priority="180">
      <formula>$G$61&lt;0</formula>
    </cfRule>
  </conditionalFormatting>
  <conditionalFormatting sqref="C62">
    <cfRule type="expression" dxfId="102" priority="178">
      <formula>$G$62&lt;0</formula>
    </cfRule>
  </conditionalFormatting>
  <conditionalFormatting sqref="C63">
    <cfRule type="expression" dxfId="101" priority="176">
      <formula>$G$63&lt;0</formula>
    </cfRule>
  </conditionalFormatting>
  <conditionalFormatting sqref="C60">
    <cfRule type="expression" dxfId="100" priority="172">
      <formula>OR($G$60&lt;0,$G$60&gt;1)</formula>
    </cfRule>
  </conditionalFormatting>
  <conditionalFormatting sqref="E10:G10 I10">
    <cfRule type="expression" dxfId="99" priority="269">
      <formula>$G$9="Year-by-Year"</formula>
    </cfRule>
  </conditionalFormatting>
  <conditionalFormatting sqref="M22">
    <cfRule type="expression" dxfId="98" priority="168">
      <formula>$Q$22&lt;=0</formula>
    </cfRule>
    <cfRule type="expression" dxfId="97" priority="246">
      <formula>$Q$22&gt;0</formula>
    </cfRule>
  </conditionalFormatting>
  <conditionalFormatting sqref="M25">
    <cfRule type="expression" dxfId="96" priority="163">
      <formula>$Q$25&lt;0</formula>
    </cfRule>
    <cfRule type="expression" dxfId="95" priority="164">
      <formula>$Q$25&gt;=0</formula>
    </cfRule>
  </conditionalFormatting>
  <conditionalFormatting sqref="M27">
    <cfRule type="expression" dxfId="94" priority="161">
      <formula>$Q$27&lt;0</formula>
    </cfRule>
    <cfRule type="expression" dxfId="93" priority="162">
      <formula>$Q$27&gt;=0</formula>
    </cfRule>
  </conditionalFormatting>
  <conditionalFormatting sqref="M28">
    <cfRule type="expression" dxfId="92" priority="159">
      <formula>$Q$28&lt;0</formula>
    </cfRule>
    <cfRule type="expression" dxfId="91" priority="160">
      <formula>$Q$28&gt;=0</formula>
    </cfRule>
  </conditionalFormatting>
  <conditionalFormatting sqref="M30">
    <cfRule type="expression" dxfId="90" priority="153">
      <formula>$Q$30&lt;0</formula>
    </cfRule>
  </conditionalFormatting>
  <conditionalFormatting sqref="M32">
    <cfRule type="expression" dxfId="89" priority="151">
      <formula>$Q$32&lt;0</formula>
    </cfRule>
  </conditionalFormatting>
  <conditionalFormatting sqref="M34">
    <cfRule type="expression" dxfId="88" priority="150">
      <formula>$Q$34=""</formula>
    </cfRule>
  </conditionalFormatting>
  <conditionalFormatting sqref="M36">
    <cfRule type="expression" dxfId="87" priority="148">
      <formula>$Q$36&lt;0</formula>
    </cfRule>
  </conditionalFormatting>
  <conditionalFormatting sqref="C54 C41">
    <cfRule type="expression" dxfId="86" priority="146">
      <formula>$G$54&lt;0</formula>
    </cfRule>
    <cfRule type="expression" dxfId="85" priority="147">
      <formula>$G$54&gt;=0</formula>
    </cfRule>
  </conditionalFormatting>
  <conditionalFormatting sqref="C80">
    <cfRule type="expression" dxfId="84" priority="142">
      <formula>OR($G$80&lt;0,$G$80&gt;$G$17)</formula>
    </cfRule>
    <cfRule type="expression" dxfId="83" priority="143">
      <formula>AND($G$80&gt;0,$G$80&lt;=$G$17)</formula>
    </cfRule>
  </conditionalFormatting>
  <conditionalFormatting sqref="C81">
    <cfRule type="expression" dxfId="82" priority="140">
      <formula>$D$81=1</formula>
    </cfRule>
    <cfRule type="expression" dxfId="81" priority="141">
      <formula>$D$81=0</formula>
    </cfRule>
  </conditionalFormatting>
  <conditionalFormatting sqref="C83">
    <cfRule type="expression" dxfId="80" priority="138">
      <formula>$G$83&lt;=1</formula>
    </cfRule>
    <cfRule type="expression" dxfId="79" priority="139">
      <formula>$G$83&gt;1</formula>
    </cfRule>
  </conditionalFormatting>
  <conditionalFormatting sqref="C85">
    <cfRule type="expression" dxfId="78" priority="137">
      <formula>$G$85="Fail"</formula>
    </cfRule>
  </conditionalFormatting>
  <conditionalFormatting sqref="C88">
    <cfRule type="expression" dxfId="77" priority="133">
      <formula>$G$88="Fail"</formula>
    </cfRule>
  </conditionalFormatting>
  <conditionalFormatting sqref="C82">
    <cfRule type="expression" dxfId="76" priority="128">
      <formula>$G$82&lt;0</formula>
    </cfRule>
    <cfRule type="expression" dxfId="75" priority="129">
      <formula>$G$82&gt;=0</formula>
    </cfRule>
  </conditionalFormatting>
  <conditionalFormatting sqref="C90">
    <cfRule type="expression" dxfId="74" priority="126">
      <formula>$D$90=0</formula>
    </cfRule>
    <cfRule type="expression" dxfId="73" priority="127">
      <formula>$D$90=1</formula>
    </cfRule>
  </conditionalFormatting>
  <conditionalFormatting sqref="C92">
    <cfRule type="expression" dxfId="72" priority="124">
      <formula>$G$92&lt;0</formula>
    </cfRule>
    <cfRule type="expression" dxfId="71" priority="125">
      <formula>$G$92&gt;=0</formula>
    </cfRule>
  </conditionalFormatting>
  <conditionalFormatting sqref="M105">
    <cfRule type="expression" dxfId="70" priority="122">
      <formula>$N$105=1</formula>
    </cfRule>
    <cfRule type="expression" dxfId="69" priority="123">
      <formula>$N$105=0</formula>
    </cfRule>
  </conditionalFormatting>
  <conditionalFormatting sqref="M107">
    <cfRule type="expression" dxfId="68" priority="120">
      <formula>$N$107=0</formula>
    </cfRule>
    <cfRule type="expression" dxfId="67" priority="121">
      <formula>$N$107=1</formula>
    </cfRule>
  </conditionalFormatting>
  <conditionalFormatting sqref="C12">
    <cfRule type="expression" dxfId="66" priority="117">
      <formula>$G$12&lt;=0</formula>
    </cfRule>
    <cfRule type="expression" dxfId="65" priority="118">
      <formula>$G$12&gt;0</formula>
    </cfRule>
  </conditionalFormatting>
  <conditionalFormatting sqref="E46:G47 I46:I47">
    <cfRule type="expression" dxfId="64" priority="115">
      <formula>$H$46=1</formula>
    </cfRule>
  </conditionalFormatting>
  <conditionalFormatting sqref="O87:P87">
    <cfRule type="expression" dxfId="63" priority="110">
      <formula>$P$90="No"</formula>
    </cfRule>
  </conditionalFormatting>
  <conditionalFormatting sqref="S87">
    <cfRule type="expression" dxfId="62" priority="109">
      <formula>$P$91="No"</formula>
    </cfRule>
  </conditionalFormatting>
  <conditionalFormatting sqref="M104">
    <cfRule type="expression" dxfId="61" priority="4735">
      <formula>$Q$28=""</formula>
    </cfRule>
  </conditionalFormatting>
  <conditionalFormatting sqref="M33">
    <cfRule type="expression" dxfId="60" priority="4800">
      <formula>$Q33&lt;0</formula>
    </cfRule>
  </conditionalFormatting>
  <conditionalFormatting sqref="E70:F70 I59:I64 I45 E45:G45 E58:G64 I35:I38 E35:G38 I71">
    <cfRule type="expression" dxfId="59" priority="5350">
      <formula>$H$36=1</formula>
    </cfRule>
  </conditionalFormatting>
  <conditionalFormatting sqref="G68 G66">
    <cfRule type="expression" dxfId="58" priority="5466">
      <formula>#REF!="Complex"</formula>
    </cfRule>
  </conditionalFormatting>
  <conditionalFormatting sqref="O29:Q37">
    <cfRule type="expression" dxfId="57" priority="107">
      <formula>$Q$17="Simple"</formula>
    </cfRule>
  </conditionalFormatting>
  <conditionalFormatting sqref="M35">
    <cfRule type="expression" dxfId="56" priority="105">
      <formula>$Q$35&lt;0</formula>
    </cfRule>
  </conditionalFormatting>
  <conditionalFormatting sqref="M30 M32:M36">
    <cfRule type="expression" dxfId="55" priority="104">
      <formula>$Q$17="Simple"</formula>
    </cfRule>
  </conditionalFormatting>
  <conditionalFormatting sqref="Y93:Y96 O93:R96 U93:W96">
    <cfRule type="expression" dxfId="54" priority="96">
      <formula>$L$92=0</formula>
    </cfRule>
  </conditionalFormatting>
  <conditionalFormatting sqref="Y97 O97:R97 U97:W97">
    <cfRule type="expression" dxfId="53" priority="93">
      <formula>$L$97=1</formula>
    </cfRule>
  </conditionalFormatting>
  <conditionalFormatting sqref="C65 C67 C59:C63 C37:C38 C35">
    <cfRule type="expression" dxfId="52" priority="92">
      <formula>$D$35=1</formula>
    </cfRule>
  </conditionalFormatting>
  <conditionalFormatting sqref="I6">
    <cfRule type="expression" dxfId="51" priority="88">
      <formula>#REF!="Solar Thermal Electric"</formula>
    </cfRule>
  </conditionalFormatting>
  <conditionalFormatting sqref="C6">
    <cfRule type="expression" dxfId="50" priority="6849">
      <formula>#REF!&gt;0</formula>
    </cfRule>
  </conditionalFormatting>
  <conditionalFormatting sqref="M11:M13">
    <cfRule type="expression" dxfId="49" priority="6889">
      <formula>$G$17=$Q$6</formula>
    </cfRule>
  </conditionalFormatting>
  <conditionalFormatting sqref="S29">
    <cfRule type="expression" dxfId="48" priority="87">
      <formula>$Q$17="Simple"</formula>
    </cfRule>
  </conditionalFormatting>
  <conditionalFormatting sqref="Q101:V101 Y101">
    <cfRule type="expression" dxfId="47" priority="65">
      <formula>$V$100="Percentage Method"</formula>
    </cfRule>
  </conditionalFormatting>
  <conditionalFormatting sqref="C17">
    <cfRule type="expression" dxfId="46" priority="63">
      <formula>$D$17=1</formula>
    </cfRule>
  </conditionalFormatting>
  <conditionalFormatting sqref="C52 C39">
    <cfRule type="expression" dxfId="45" priority="47">
      <formula>$G$52&lt;1</formula>
    </cfRule>
  </conditionalFormatting>
  <conditionalFormatting sqref="O75:Q75 O79:Q80 O77:Q77">
    <cfRule type="expression" dxfId="44" priority="7847">
      <formula>$Q$74="No"</formula>
    </cfRule>
  </conditionalFormatting>
  <conditionalFormatting sqref="O75:Q75 S75">
    <cfRule type="expression" dxfId="43" priority="46">
      <formula>$R$38=1</formula>
    </cfRule>
  </conditionalFormatting>
  <conditionalFormatting sqref="O75:Q75">
    <cfRule type="expression" dxfId="42" priority="45">
      <formula>$Q$38="No"</formula>
    </cfRule>
  </conditionalFormatting>
  <conditionalFormatting sqref="O75:Q75 S75">
    <cfRule type="expression" dxfId="41" priority="44">
      <formula>$R$37=1</formula>
    </cfRule>
  </conditionalFormatting>
  <conditionalFormatting sqref="S63:S64 O63:Q64 S60:S61 O60:Q61">
    <cfRule type="expression" dxfId="40" priority="8713">
      <formula>$R$55=1</formula>
    </cfRule>
  </conditionalFormatting>
  <conditionalFormatting sqref="M63:M64 M60:M61">
    <cfRule type="expression" dxfId="39" priority="8750">
      <formula>$Q$55="Cost-Based"</formula>
    </cfRule>
  </conditionalFormatting>
  <conditionalFormatting sqref="L65 H74 H69 K56">
    <cfRule type="expression" dxfId="38" priority="11989">
      <formula>$G$20="Complex"</formula>
    </cfRule>
  </conditionalFormatting>
  <conditionalFormatting sqref="V94:W96 Y92 O92:R92 U92:W92 W93 F69:G69 G70 E71:G72 I49 E48:G49 E25:G29 I25:I28">
    <cfRule type="expression" dxfId="37" priority="11993">
      <formula>$G$20="Simple"</formula>
    </cfRule>
  </conditionalFormatting>
  <conditionalFormatting sqref="G68 E65:F65 E67:F68 E66:G66">
    <cfRule type="expression" dxfId="36" priority="12004">
      <formula>$G$20="Intermediate"</formula>
    </cfRule>
  </conditionalFormatting>
  <conditionalFormatting sqref="G65 G67">
    <cfRule type="expression" dxfId="35" priority="12008">
      <formula>$G$20="Intermediate"</formula>
    </cfRule>
  </conditionalFormatting>
  <conditionalFormatting sqref="I74 I69">
    <cfRule type="expression" dxfId="34" priority="12010">
      <formula>$G$20="Complex"</formula>
    </cfRule>
  </conditionalFormatting>
  <conditionalFormatting sqref="I65:I68">
    <cfRule type="expression" dxfId="33" priority="12012">
      <formula>$G$20="Intermediate"</formula>
    </cfRule>
  </conditionalFormatting>
  <conditionalFormatting sqref="E69">
    <cfRule type="expression" dxfId="32" priority="12013">
      <formula>$G$20="Complex"</formula>
    </cfRule>
  </conditionalFormatting>
  <conditionalFormatting sqref="C65">
    <cfRule type="expression" dxfId="31" priority="12014">
      <formula>AND($G$20="Intermediate",$G$65&lt;=0)</formula>
    </cfRule>
  </conditionalFormatting>
  <conditionalFormatting sqref="E65:G68 I65:I68">
    <cfRule type="expression" dxfId="30" priority="12017">
      <formula>OR($G$20="Simple",$G$20="Complex")</formula>
    </cfRule>
  </conditionalFormatting>
  <conditionalFormatting sqref="F69:G69">
    <cfRule type="expression" dxfId="29" priority="12055">
      <formula>$G$20="Intermediate"</formula>
    </cfRule>
  </conditionalFormatting>
  <conditionalFormatting sqref="C69 C46">
    <cfRule type="expression" dxfId="28" priority="12061">
      <formula>AND($G$20="Complex",$G$71&gt;0)</formula>
    </cfRule>
    <cfRule type="expression" dxfId="27" priority="12062">
      <formula>$G$20="Complex"</formula>
    </cfRule>
  </conditionalFormatting>
  <conditionalFormatting sqref="C39 C41 C52 C54 C25 C27:C28">
    <cfRule type="expression" dxfId="26" priority="14" stopIfTrue="1">
      <formula>$G$20="Complex"</formula>
    </cfRule>
  </conditionalFormatting>
  <conditionalFormatting sqref="L60 K50">
    <cfRule type="expression" dxfId="25" priority="13643">
      <formula>$G$20="Simple"</formula>
    </cfRule>
  </conditionalFormatting>
  <conditionalFormatting sqref="L63:L64 L61 K51:K53 K55">
    <cfRule type="expression" dxfId="24" priority="13645">
      <formula>$G$20="Intermediate"</formula>
    </cfRule>
  </conditionalFormatting>
  <conditionalFormatting sqref="C25 C27:C28">
    <cfRule type="expression" dxfId="23" priority="11" stopIfTrue="1">
      <formula>$G$20="Simple"</formula>
    </cfRule>
  </conditionalFormatting>
  <conditionalFormatting sqref="C79">
    <cfRule type="expression" dxfId="22" priority="14474">
      <formula>$D79=1</formula>
    </cfRule>
    <cfRule type="expression" dxfId="21" priority="14475">
      <formula>$D$79=0</formula>
    </cfRule>
  </conditionalFormatting>
  <conditionalFormatting sqref="S72:S73 O72:Q73 S70 O70:Q70">
    <cfRule type="expression" dxfId="20" priority="14672">
      <formula>$R$70=1</formula>
    </cfRule>
  </conditionalFormatting>
  <conditionalFormatting sqref="M72 M70">
    <cfRule type="expression" dxfId="19" priority="14710">
      <formula>$Q$69="Performance-Based"</formula>
    </cfRule>
  </conditionalFormatting>
  <conditionalFormatting sqref="M74 M79:M80 M77">
    <cfRule type="expression" dxfId="18" priority="14855">
      <formula>$Q$69="Cost-Based"</formula>
    </cfRule>
  </conditionalFormatting>
  <conditionalFormatting sqref="M76">
    <cfRule type="expression" dxfId="17" priority="15097">
      <formula>$Q$74="Tax Credit"</formula>
    </cfRule>
    <cfRule type="expression" dxfId="16" priority="15098">
      <formula>$Q76=""</formula>
    </cfRule>
  </conditionalFormatting>
  <conditionalFormatting sqref="O62:Q62">
    <cfRule type="expression" dxfId="15" priority="5">
      <formula>$R$55=1</formula>
    </cfRule>
  </conditionalFormatting>
  <conditionalFormatting sqref="O58:Q58">
    <cfRule type="expression" dxfId="14" priority="4">
      <formula>$T$55=1</formula>
    </cfRule>
  </conditionalFormatting>
  <conditionalFormatting sqref="O71:Q71">
    <cfRule type="expression" dxfId="13" priority="3">
      <formula>$R$70=1</formula>
    </cfRule>
  </conditionalFormatting>
  <conditionalFormatting sqref="O78:Q78">
    <cfRule type="expression" dxfId="12" priority="2">
      <formula>$R$74=1</formula>
    </cfRule>
  </conditionalFormatting>
  <conditionalFormatting sqref="O78:Q78">
    <cfRule type="expression" dxfId="11" priority="1">
      <formula>$Q$74="No"</formula>
    </cfRule>
  </conditionalFormatting>
  <dataValidations count="17">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87" xr:uid="{00000000-0002-0000-0100-000000000000}">
      <formula1>G86</formula1>
    </dataValidation>
    <dataValidation type="list" allowBlank="1" showInputMessage="1" showErrorMessage="1" sqref="Q76 Q66 Q104 P86 Q83" xr:uid="{00000000-0002-0000-0100-000001000000}">
      <formula1>"Yes, No"</formula1>
    </dataValidation>
    <dataValidation type="list" allowBlank="1" showInputMessage="1" showErrorMessage="1" sqref="Q74 Q60" xr:uid="{00000000-0002-0000-0100-000002000000}">
      <formula1>"Cash, Tax Credit"</formula1>
    </dataValidation>
    <dataValidation type="list" allowBlank="1" showInputMessage="1" showErrorMessage="1" sqref="Q69 Q55" xr:uid="{00000000-0002-0000-0100-000003000000}">
      <formula1>"Cost-Based, Performance-Based, Neither"</formula1>
    </dataValidation>
    <dataValidation type="list" allowBlank="1" showInputMessage="1" showErrorMessage="1" sqref="Q106 Q108" xr:uid="{00000000-0002-0000-0100-000004000000}">
      <formula1>"As Generated, Carried Forward"</formula1>
    </dataValidation>
    <dataValidation type="list" allowBlank="1" showInputMessage="1" showErrorMessage="1" sqref="V100" xr:uid="{00000000-0002-0000-0100-000005000000}">
      <formula1>"Cost Method, Percentage Method"</formula1>
    </dataValidation>
    <dataValidation type="list" allowBlank="1" showInputMessage="1" showErrorMessage="1" sqref="V101" xr:uid="{00000000-0002-0000-0100-000006000000}">
      <formula1>"No Switch,1,2,3,4,5,6,7,8,9,10,11,12,13,14,15,16,17,18,198,20,21,22,23,24,25"</formula1>
    </dataValidation>
    <dataValidation errorStyle="warning" allowBlank="1" showInputMessage="1" showErrorMessage="1" sqref="G85" xr:uid="{00000000-0002-0000-0100-000007000000}"/>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85 H88" xr:uid="{00000000-0002-0000-0100-000008000000}"/>
    <dataValidation errorStyle="warning" operator="greaterThanOrEqual" allowBlank="1" showInputMessage="1" showErrorMessage="1" errorTitle="test" error="test" sqref="G83" xr:uid="{00000000-0002-0000-0100-000009000000}"/>
    <dataValidation type="list" allowBlank="1" showInputMessage="1" showErrorMessage="1" sqref="G25" xr:uid="{00000000-0002-0000-0100-00000A000000}">
      <formula1>"5%, 10%, 15%, 20%, 25%, 30%, 35%, 40%, 45%, 50%"</formula1>
    </dataValidation>
    <dataValidation type="list" allowBlank="1" showInputMessage="1" showErrorMessage="1" sqref="G20" xr:uid="{00000000-0002-0000-0100-00000B000000}">
      <formula1>"Simple, Intermediate, Complex"</formula1>
    </dataValidation>
    <dataValidation type="list" allowBlank="1" showInputMessage="1" showErrorMessage="1" sqref="Q56" xr:uid="{00000000-0002-0000-0100-00000C000000}">
      <formula1>"ITC, Cash Grant"</formula1>
    </dataValidation>
    <dataValidation type="list" allowBlank="1" showInputMessage="1" showErrorMessage="1" sqref="G14 G9" xr:uid="{00000000-0002-0000-0100-00000D000000}">
      <formula1>"Annual, Year-by-Year"</formula1>
    </dataValidation>
    <dataValidation type="list" allowBlank="1" showInputMessage="1" showErrorMessage="1" sqref="Q51" xr:uid="{00000000-0002-0000-0100-00000E000000}">
      <formula1>"Operations, Salvage"</formula1>
    </dataValidation>
    <dataValidation type="list" allowBlank="1" showInputMessage="1" showErrorMessage="1" sqref="Q17" xr:uid="{00000000-0002-0000-0100-00000F000000}">
      <formula1>"Simple, Intermediate"</formula1>
    </dataValidation>
    <dataValidation type="list" allowBlank="1" showInputMessage="1" showErrorMessage="1" sqref="Q11" xr:uid="{00000000-0002-0000-0100-000010000000}">
      <formula1>"Year One, Year-by-Year"</formula1>
    </dataValidation>
  </dataValidations>
  <hyperlinks>
    <hyperlink ref="E69" location="complex_plant" display="complex_plant" xr:uid="{00000000-0004-0000-0100-000000000000}"/>
    <hyperlink ref="O14" location="'Complex Inputs'!A126" display="'Complex Inputs'!A126" xr:uid="{00000000-0004-0000-0100-000001000000}"/>
    <hyperlink ref="E46" location="complex_wellfield" display="complex_wellfield" xr:uid="{00000000-0004-0000-0100-000002000000}"/>
    <hyperlink ref="E11" location="production_degradation_input" display="production_degradation_input" xr:uid="{00000000-0004-0000-0100-000003000000}"/>
    <hyperlink ref="E16" location="Thermal_Resource_Degradation_Input" display="Thermal_Resource_Degradation_Input" xr:uid="{00000000-0004-0000-0100-000004000000}"/>
    <hyperlink ref="O97" location="depreciation_allocation" display="depreciation_allocation" xr:uid="{00000000-0004-0000-0100-000005000000}"/>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66"/>
  <sheetViews>
    <sheetView showGridLines="0" zoomScale="70" zoomScaleNormal="70" workbookViewId="0">
      <pane xSplit="4" ySplit="5" topLeftCell="E6" activePane="bottomRight" state="frozen"/>
      <selection pane="topRight" activeCell="E1" sqref="E1"/>
      <selection pane="bottomLeft" activeCell="A6" sqref="A6"/>
      <selection pane="bottomRight" activeCell="G11" sqref="G11"/>
    </sheetView>
  </sheetViews>
  <sheetFormatPr baseColWidth="10" defaultColWidth="8.83203125" defaultRowHeight="14"/>
  <cols>
    <col min="1" max="1" width="2.5" style="136" customWidth="1"/>
    <col min="2" max="2" width="57.5" style="136" customWidth="1"/>
    <col min="3" max="3" width="8.5" style="136" bestFit="1" customWidth="1"/>
    <col min="4" max="4" width="22.6640625" style="136" bestFit="1" customWidth="1"/>
    <col min="5" max="5" width="3.83203125" style="136" customWidth="1"/>
    <col min="6" max="15" width="26.33203125" style="136" bestFit="1" customWidth="1"/>
    <col min="16" max="243" width="9.1640625" style="136"/>
    <col min="244" max="244" width="21.5" style="136" customWidth="1"/>
    <col min="245" max="245" width="16.5" style="136" customWidth="1"/>
    <col min="246" max="246" width="18" style="136" customWidth="1"/>
    <col min="247" max="247" width="23.6640625" style="136" customWidth="1"/>
    <col min="248" max="248" width="26" style="136" customWidth="1"/>
    <col min="249" max="249" width="21.5" style="136" customWidth="1"/>
    <col min="250" max="250" width="20.83203125" style="136" customWidth="1"/>
    <col min="251" max="251" width="0" style="136" hidden="1" customWidth="1"/>
    <col min="252" max="499" width="9.1640625" style="136"/>
    <col min="500" max="500" width="21.5" style="136" customWidth="1"/>
    <col min="501" max="501" width="16.5" style="136" customWidth="1"/>
    <col min="502" max="502" width="18" style="136" customWidth="1"/>
    <col min="503" max="503" width="23.6640625" style="136" customWidth="1"/>
    <col min="504" max="504" width="26" style="136" customWidth="1"/>
    <col min="505" max="505" width="21.5" style="136" customWidth="1"/>
    <col min="506" max="506" width="20.83203125" style="136" customWidth="1"/>
    <col min="507" max="507" width="0" style="136" hidden="1" customWidth="1"/>
    <col min="508" max="755" width="9.1640625" style="136"/>
    <col min="756" max="756" width="21.5" style="136" customWidth="1"/>
    <col min="757" max="757" width="16.5" style="136" customWidth="1"/>
    <col min="758" max="758" width="18" style="136" customWidth="1"/>
    <col min="759" max="759" width="23.6640625" style="136" customWidth="1"/>
    <col min="760" max="760" width="26" style="136" customWidth="1"/>
    <col min="761" max="761" width="21.5" style="136" customWidth="1"/>
    <col min="762" max="762" width="20.83203125" style="136" customWidth="1"/>
    <col min="763" max="763" width="0" style="136" hidden="1" customWidth="1"/>
    <col min="764" max="1011" width="9.1640625" style="136"/>
    <col min="1012" max="1012" width="21.5" style="136" customWidth="1"/>
    <col min="1013" max="1013" width="16.5" style="136" customWidth="1"/>
    <col min="1014" max="1014" width="18" style="136" customWidth="1"/>
    <col min="1015" max="1015" width="23.6640625" style="136" customWidth="1"/>
    <col min="1016" max="1016" width="26" style="136" customWidth="1"/>
    <col min="1017" max="1017" width="21.5" style="136" customWidth="1"/>
    <col min="1018" max="1018" width="20.83203125" style="136" customWidth="1"/>
    <col min="1019" max="1019" width="0" style="136" hidden="1" customWidth="1"/>
    <col min="1020" max="1267" width="9.1640625" style="136"/>
    <col min="1268" max="1268" width="21.5" style="136" customWidth="1"/>
    <col min="1269" max="1269" width="16.5" style="136" customWidth="1"/>
    <col min="1270" max="1270" width="18" style="136" customWidth="1"/>
    <col min="1271" max="1271" width="23.6640625" style="136" customWidth="1"/>
    <col min="1272" max="1272" width="26" style="136" customWidth="1"/>
    <col min="1273" max="1273" width="21.5" style="136" customWidth="1"/>
    <col min="1274" max="1274" width="20.83203125" style="136" customWidth="1"/>
    <col min="1275" max="1275" width="0" style="136" hidden="1" customWidth="1"/>
    <col min="1276" max="1523" width="9.1640625" style="136"/>
    <col min="1524" max="1524" width="21.5" style="136" customWidth="1"/>
    <col min="1525" max="1525" width="16.5" style="136" customWidth="1"/>
    <col min="1526" max="1526" width="18" style="136" customWidth="1"/>
    <col min="1527" max="1527" width="23.6640625" style="136" customWidth="1"/>
    <col min="1528" max="1528" width="26" style="136" customWidth="1"/>
    <col min="1529" max="1529" width="21.5" style="136" customWidth="1"/>
    <col min="1530" max="1530" width="20.83203125" style="136" customWidth="1"/>
    <col min="1531" max="1531" width="0" style="136" hidden="1" customWidth="1"/>
    <col min="1532" max="1779" width="9.1640625" style="136"/>
    <col min="1780" max="1780" width="21.5" style="136" customWidth="1"/>
    <col min="1781" max="1781" width="16.5" style="136" customWidth="1"/>
    <col min="1782" max="1782" width="18" style="136" customWidth="1"/>
    <col min="1783" max="1783" width="23.6640625" style="136" customWidth="1"/>
    <col min="1784" max="1784" width="26" style="136" customWidth="1"/>
    <col min="1785" max="1785" width="21.5" style="136" customWidth="1"/>
    <col min="1786" max="1786" width="20.83203125" style="136" customWidth="1"/>
    <col min="1787" max="1787" width="0" style="136" hidden="1" customWidth="1"/>
    <col min="1788" max="2035" width="9.1640625" style="136"/>
    <col min="2036" max="2036" width="21.5" style="136" customWidth="1"/>
    <col min="2037" max="2037" width="16.5" style="136" customWidth="1"/>
    <col min="2038" max="2038" width="18" style="136" customWidth="1"/>
    <col min="2039" max="2039" width="23.6640625" style="136" customWidth="1"/>
    <col min="2040" max="2040" width="26" style="136" customWidth="1"/>
    <col min="2041" max="2041" width="21.5" style="136" customWidth="1"/>
    <col min="2042" max="2042" width="20.83203125" style="136" customWidth="1"/>
    <col min="2043" max="2043" width="0" style="136" hidden="1" customWidth="1"/>
    <col min="2044" max="2291" width="9.1640625" style="136"/>
    <col min="2292" max="2292" width="21.5" style="136" customWidth="1"/>
    <col min="2293" max="2293" width="16.5" style="136" customWidth="1"/>
    <col min="2294" max="2294" width="18" style="136" customWidth="1"/>
    <col min="2295" max="2295" width="23.6640625" style="136" customWidth="1"/>
    <col min="2296" max="2296" width="26" style="136" customWidth="1"/>
    <col min="2297" max="2297" width="21.5" style="136" customWidth="1"/>
    <col min="2298" max="2298" width="20.83203125" style="136" customWidth="1"/>
    <col min="2299" max="2299" width="0" style="136" hidden="1" customWidth="1"/>
    <col min="2300" max="2547" width="9.1640625" style="136"/>
    <col min="2548" max="2548" width="21.5" style="136" customWidth="1"/>
    <col min="2549" max="2549" width="16.5" style="136" customWidth="1"/>
    <col min="2550" max="2550" width="18" style="136" customWidth="1"/>
    <col min="2551" max="2551" width="23.6640625" style="136" customWidth="1"/>
    <col min="2552" max="2552" width="26" style="136" customWidth="1"/>
    <col min="2553" max="2553" width="21.5" style="136" customWidth="1"/>
    <col min="2554" max="2554" width="20.83203125" style="136" customWidth="1"/>
    <col min="2555" max="2555" width="0" style="136" hidden="1" customWidth="1"/>
    <col min="2556" max="2803" width="9.1640625" style="136"/>
    <col min="2804" max="2804" width="21.5" style="136" customWidth="1"/>
    <col min="2805" max="2805" width="16.5" style="136" customWidth="1"/>
    <col min="2806" max="2806" width="18" style="136" customWidth="1"/>
    <col min="2807" max="2807" width="23.6640625" style="136" customWidth="1"/>
    <col min="2808" max="2808" width="26" style="136" customWidth="1"/>
    <col min="2809" max="2809" width="21.5" style="136" customWidth="1"/>
    <col min="2810" max="2810" width="20.83203125" style="136" customWidth="1"/>
    <col min="2811" max="2811" width="0" style="136" hidden="1" customWidth="1"/>
    <col min="2812" max="3059" width="9.1640625" style="136"/>
    <col min="3060" max="3060" width="21.5" style="136" customWidth="1"/>
    <col min="3061" max="3061" width="16.5" style="136" customWidth="1"/>
    <col min="3062" max="3062" width="18" style="136" customWidth="1"/>
    <col min="3063" max="3063" width="23.6640625" style="136" customWidth="1"/>
    <col min="3064" max="3064" width="26" style="136" customWidth="1"/>
    <col min="3065" max="3065" width="21.5" style="136" customWidth="1"/>
    <col min="3066" max="3066" width="20.83203125" style="136" customWidth="1"/>
    <col min="3067" max="3067" width="0" style="136" hidden="1" customWidth="1"/>
    <col min="3068" max="3315" width="9.1640625" style="136"/>
    <col min="3316" max="3316" width="21.5" style="136" customWidth="1"/>
    <col min="3317" max="3317" width="16.5" style="136" customWidth="1"/>
    <col min="3318" max="3318" width="18" style="136" customWidth="1"/>
    <col min="3319" max="3319" width="23.6640625" style="136" customWidth="1"/>
    <col min="3320" max="3320" width="26" style="136" customWidth="1"/>
    <col min="3321" max="3321" width="21.5" style="136" customWidth="1"/>
    <col min="3322" max="3322" width="20.83203125" style="136" customWidth="1"/>
    <col min="3323" max="3323" width="0" style="136" hidden="1" customWidth="1"/>
    <col min="3324" max="3571" width="9.1640625" style="136"/>
    <col min="3572" max="3572" width="21.5" style="136" customWidth="1"/>
    <col min="3573" max="3573" width="16.5" style="136" customWidth="1"/>
    <col min="3574" max="3574" width="18" style="136" customWidth="1"/>
    <col min="3575" max="3575" width="23.6640625" style="136" customWidth="1"/>
    <col min="3576" max="3576" width="26" style="136" customWidth="1"/>
    <col min="3577" max="3577" width="21.5" style="136" customWidth="1"/>
    <col min="3578" max="3578" width="20.83203125" style="136" customWidth="1"/>
    <col min="3579" max="3579" width="0" style="136" hidden="1" customWidth="1"/>
    <col min="3580" max="3827" width="9.1640625" style="136"/>
    <col min="3828" max="3828" width="21.5" style="136" customWidth="1"/>
    <col min="3829" max="3829" width="16.5" style="136" customWidth="1"/>
    <col min="3830" max="3830" width="18" style="136" customWidth="1"/>
    <col min="3831" max="3831" width="23.6640625" style="136" customWidth="1"/>
    <col min="3832" max="3832" width="26" style="136" customWidth="1"/>
    <col min="3833" max="3833" width="21.5" style="136" customWidth="1"/>
    <col min="3834" max="3834" width="20.83203125" style="136" customWidth="1"/>
    <col min="3835" max="3835" width="0" style="136" hidden="1" customWidth="1"/>
    <col min="3836" max="4083" width="9.1640625" style="136"/>
    <col min="4084" max="4084" width="21.5" style="136" customWidth="1"/>
    <col min="4085" max="4085" width="16.5" style="136" customWidth="1"/>
    <col min="4086" max="4086" width="18" style="136" customWidth="1"/>
    <col min="4087" max="4087" width="23.6640625" style="136" customWidth="1"/>
    <col min="4088" max="4088" width="26" style="136" customWidth="1"/>
    <col min="4089" max="4089" width="21.5" style="136" customWidth="1"/>
    <col min="4090" max="4090" width="20.83203125" style="136" customWidth="1"/>
    <col min="4091" max="4091" width="0" style="136" hidden="1" customWidth="1"/>
    <col min="4092" max="4339" width="9.1640625" style="136"/>
    <col min="4340" max="4340" width="21.5" style="136" customWidth="1"/>
    <col min="4341" max="4341" width="16.5" style="136" customWidth="1"/>
    <col min="4342" max="4342" width="18" style="136" customWidth="1"/>
    <col min="4343" max="4343" width="23.6640625" style="136" customWidth="1"/>
    <col min="4344" max="4344" width="26" style="136" customWidth="1"/>
    <col min="4345" max="4345" width="21.5" style="136" customWidth="1"/>
    <col min="4346" max="4346" width="20.83203125" style="136" customWidth="1"/>
    <col min="4347" max="4347" width="0" style="136" hidden="1" customWidth="1"/>
    <col min="4348" max="4595" width="9.1640625" style="136"/>
    <col min="4596" max="4596" width="21.5" style="136" customWidth="1"/>
    <col min="4597" max="4597" width="16.5" style="136" customWidth="1"/>
    <col min="4598" max="4598" width="18" style="136" customWidth="1"/>
    <col min="4599" max="4599" width="23.6640625" style="136" customWidth="1"/>
    <col min="4600" max="4600" width="26" style="136" customWidth="1"/>
    <col min="4601" max="4601" width="21.5" style="136" customWidth="1"/>
    <col min="4602" max="4602" width="20.83203125" style="136" customWidth="1"/>
    <col min="4603" max="4603" width="0" style="136" hidden="1" customWidth="1"/>
    <col min="4604" max="4851" width="9.1640625" style="136"/>
    <col min="4852" max="4852" width="21.5" style="136" customWidth="1"/>
    <col min="4853" max="4853" width="16.5" style="136" customWidth="1"/>
    <col min="4854" max="4854" width="18" style="136" customWidth="1"/>
    <col min="4855" max="4855" width="23.6640625" style="136" customWidth="1"/>
    <col min="4856" max="4856" width="26" style="136" customWidth="1"/>
    <col min="4857" max="4857" width="21.5" style="136" customWidth="1"/>
    <col min="4858" max="4858" width="20.83203125" style="136" customWidth="1"/>
    <col min="4859" max="4859" width="0" style="136" hidden="1" customWidth="1"/>
    <col min="4860" max="5107" width="9.1640625" style="136"/>
    <col min="5108" max="5108" width="21.5" style="136" customWidth="1"/>
    <col min="5109" max="5109" width="16.5" style="136" customWidth="1"/>
    <col min="5110" max="5110" width="18" style="136" customWidth="1"/>
    <col min="5111" max="5111" width="23.6640625" style="136" customWidth="1"/>
    <col min="5112" max="5112" width="26" style="136" customWidth="1"/>
    <col min="5113" max="5113" width="21.5" style="136" customWidth="1"/>
    <col min="5114" max="5114" width="20.83203125" style="136" customWidth="1"/>
    <col min="5115" max="5115" width="0" style="136" hidden="1" customWidth="1"/>
    <col min="5116" max="5363" width="9.1640625" style="136"/>
    <col min="5364" max="5364" width="21.5" style="136" customWidth="1"/>
    <col min="5365" max="5365" width="16.5" style="136" customWidth="1"/>
    <col min="5366" max="5366" width="18" style="136" customWidth="1"/>
    <col min="5367" max="5367" width="23.6640625" style="136" customWidth="1"/>
    <col min="5368" max="5368" width="26" style="136" customWidth="1"/>
    <col min="5369" max="5369" width="21.5" style="136" customWidth="1"/>
    <col min="5370" max="5370" width="20.83203125" style="136" customWidth="1"/>
    <col min="5371" max="5371" width="0" style="136" hidden="1" customWidth="1"/>
    <col min="5372" max="5619" width="9.1640625" style="136"/>
    <col min="5620" max="5620" width="21.5" style="136" customWidth="1"/>
    <col min="5621" max="5621" width="16.5" style="136" customWidth="1"/>
    <col min="5622" max="5622" width="18" style="136" customWidth="1"/>
    <col min="5623" max="5623" width="23.6640625" style="136" customWidth="1"/>
    <col min="5624" max="5624" width="26" style="136" customWidth="1"/>
    <col min="5625" max="5625" width="21.5" style="136" customWidth="1"/>
    <col min="5626" max="5626" width="20.83203125" style="136" customWidth="1"/>
    <col min="5627" max="5627" width="0" style="136" hidden="1" customWidth="1"/>
    <col min="5628" max="5875" width="9.1640625" style="136"/>
    <col min="5876" max="5876" width="21.5" style="136" customWidth="1"/>
    <col min="5877" max="5877" width="16.5" style="136" customWidth="1"/>
    <col min="5878" max="5878" width="18" style="136" customWidth="1"/>
    <col min="5879" max="5879" width="23.6640625" style="136" customWidth="1"/>
    <col min="5880" max="5880" width="26" style="136" customWidth="1"/>
    <col min="5881" max="5881" width="21.5" style="136" customWidth="1"/>
    <col min="5882" max="5882" width="20.83203125" style="136" customWidth="1"/>
    <col min="5883" max="5883" width="0" style="136" hidden="1" customWidth="1"/>
    <col min="5884" max="6131" width="9.1640625" style="136"/>
    <col min="6132" max="6132" width="21.5" style="136" customWidth="1"/>
    <col min="6133" max="6133" width="16.5" style="136" customWidth="1"/>
    <col min="6134" max="6134" width="18" style="136" customWidth="1"/>
    <col min="6135" max="6135" width="23.6640625" style="136" customWidth="1"/>
    <col min="6136" max="6136" width="26" style="136" customWidth="1"/>
    <col min="6137" max="6137" width="21.5" style="136" customWidth="1"/>
    <col min="6138" max="6138" width="20.83203125" style="136" customWidth="1"/>
    <col min="6139" max="6139" width="0" style="136" hidden="1" customWidth="1"/>
    <col min="6140" max="6387" width="9.1640625" style="136"/>
    <col min="6388" max="6388" width="21.5" style="136" customWidth="1"/>
    <col min="6389" max="6389" width="16.5" style="136" customWidth="1"/>
    <col min="6390" max="6390" width="18" style="136" customWidth="1"/>
    <col min="6391" max="6391" width="23.6640625" style="136" customWidth="1"/>
    <col min="6392" max="6392" width="26" style="136" customWidth="1"/>
    <col min="6393" max="6393" width="21.5" style="136" customWidth="1"/>
    <col min="6394" max="6394" width="20.83203125" style="136" customWidth="1"/>
    <col min="6395" max="6395" width="0" style="136" hidden="1" customWidth="1"/>
    <col min="6396" max="6643" width="9.1640625" style="136"/>
    <col min="6644" max="6644" width="21.5" style="136" customWidth="1"/>
    <col min="6645" max="6645" width="16.5" style="136" customWidth="1"/>
    <col min="6646" max="6646" width="18" style="136" customWidth="1"/>
    <col min="6647" max="6647" width="23.6640625" style="136" customWidth="1"/>
    <col min="6648" max="6648" width="26" style="136" customWidth="1"/>
    <col min="6649" max="6649" width="21.5" style="136" customWidth="1"/>
    <col min="6650" max="6650" width="20.83203125" style="136" customWidth="1"/>
    <col min="6651" max="6651" width="0" style="136" hidden="1" customWidth="1"/>
    <col min="6652" max="6899" width="9.1640625" style="136"/>
    <col min="6900" max="6900" width="21.5" style="136" customWidth="1"/>
    <col min="6901" max="6901" width="16.5" style="136" customWidth="1"/>
    <col min="6902" max="6902" width="18" style="136" customWidth="1"/>
    <col min="6903" max="6903" width="23.6640625" style="136" customWidth="1"/>
    <col min="6904" max="6904" width="26" style="136" customWidth="1"/>
    <col min="6905" max="6905" width="21.5" style="136" customWidth="1"/>
    <col min="6906" max="6906" width="20.83203125" style="136" customWidth="1"/>
    <col min="6907" max="6907" width="0" style="136" hidden="1" customWidth="1"/>
    <col min="6908" max="7155" width="9.1640625" style="136"/>
    <col min="7156" max="7156" width="21.5" style="136" customWidth="1"/>
    <col min="7157" max="7157" width="16.5" style="136" customWidth="1"/>
    <col min="7158" max="7158" width="18" style="136" customWidth="1"/>
    <col min="7159" max="7159" width="23.6640625" style="136" customWidth="1"/>
    <col min="7160" max="7160" width="26" style="136" customWidth="1"/>
    <col min="7161" max="7161" width="21.5" style="136" customWidth="1"/>
    <col min="7162" max="7162" width="20.83203125" style="136" customWidth="1"/>
    <col min="7163" max="7163" width="0" style="136" hidden="1" customWidth="1"/>
    <col min="7164" max="7411" width="9.1640625" style="136"/>
    <col min="7412" max="7412" width="21.5" style="136" customWidth="1"/>
    <col min="7413" max="7413" width="16.5" style="136" customWidth="1"/>
    <col min="7414" max="7414" width="18" style="136" customWidth="1"/>
    <col min="7415" max="7415" width="23.6640625" style="136" customWidth="1"/>
    <col min="7416" max="7416" width="26" style="136" customWidth="1"/>
    <col min="7417" max="7417" width="21.5" style="136" customWidth="1"/>
    <col min="7418" max="7418" width="20.83203125" style="136" customWidth="1"/>
    <col min="7419" max="7419" width="0" style="136" hidden="1" customWidth="1"/>
    <col min="7420" max="7667" width="9.1640625" style="136"/>
    <col min="7668" max="7668" width="21.5" style="136" customWidth="1"/>
    <col min="7669" max="7669" width="16.5" style="136" customWidth="1"/>
    <col min="7670" max="7670" width="18" style="136" customWidth="1"/>
    <col min="7671" max="7671" width="23.6640625" style="136" customWidth="1"/>
    <col min="7672" max="7672" width="26" style="136" customWidth="1"/>
    <col min="7673" max="7673" width="21.5" style="136" customWidth="1"/>
    <col min="7674" max="7674" width="20.83203125" style="136" customWidth="1"/>
    <col min="7675" max="7675" width="0" style="136" hidden="1" customWidth="1"/>
    <col min="7676" max="7923" width="9.1640625" style="136"/>
    <col min="7924" max="7924" width="21.5" style="136" customWidth="1"/>
    <col min="7925" max="7925" width="16.5" style="136" customWidth="1"/>
    <col min="7926" max="7926" width="18" style="136" customWidth="1"/>
    <col min="7927" max="7927" width="23.6640625" style="136" customWidth="1"/>
    <col min="7928" max="7928" width="26" style="136" customWidth="1"/>
    <col min="7929" max="7929" width="21.5" style="136" customWidth="1"/>
    <col min="7930" max="7930" width="20.83203125" style="136" customWidth="1"/>
    <col min="7931" max="7931" width="0" style="136" hidden="1" customWidth="1"/>
    <col min="7932" max="8179" width="9.1640625" style="136"/>
    <col min="8180" max="8180" width="21.5" style="136" customWidth="1"/>
    <col min="8181" max="8181" width="16.5" style="136" customWidth="1"/>
    <col min="8182" max="8182" width="18" style="136" customWidth="1"/>
    <col min="8183" max="8183" width="23.6640625" style="136" customWidth="1"/>
    <col min="8184" max="8184" width="26" style="136" customWidth="1"/>
    <col min="8185" max="8185" width="21.5" style="136" customWidth="1"/>
    <col min="8186" max="8186" width="20.83203125" style="136" customWidth="1"/>
    <col min="8187" max="8187" width="0" style="136" hidden="1" customWidth="1"/>
    <col min="8188" max="8435" width="9.1640625" style="136"/>
    <col min="8436" max="8436" width="21.5" style="136" customWidth="1"/>
    <col min="8437" max="8437" width="16.5" style="136" customWidth="1"/>
    <col min="8438" max="8438" width="18" style="136" customWidth="1"/>
    <col min="8439" max="8439" width="23.6640625" style="136" customWidth="1"/>
    <col min="8440" max="8440" width="26" style="136" customWidth="1"/>
    <col min="8441" max="8441" width="21.5" style="136" customWidth="1"/>
    <col min="8442" max="8442" width="20.83203125" style="136" customWidth="1"/>
    <col min="8443" max="8443" width="0" style="136" hidden="1" customWidth="1"/>
    <col min="8444" max="8691" width="9.1640625" style="136"/>
    <col min="8692" max="8692" width="21.5" style="136" customWidth="1"/>
    <col min="8693" max="8693" width="16.5" style="136" customWidth="1"/>
    <col min="8694" max="8694" width="18" style="136" customWidth="1"/>
    <col min="8695" max="8695" width="23.6640625" style="136" customWidth="1"/>
    <col min="8696" max="8696" width="26" style="136" customWidth="1"/>
    <col min="8697" max="8697" width="21.5" style="136" customWidth="1"/>
    <col min="8698" max="8698" width="20.83203125" style="136" customWidth="1"/>
    <col min="8699" max="8699" width="0" style="136" hidden="1" customWidth="1"/>
    <col min="8700" max="8947" width="9.1640625" style="136"/>
    <col min="8948" max="8948" width="21.5" style="136" customWidth="1"/>
    <col min="8949" max="8949" width="16.5" style="136" customWidth="1"/>
    <col min="8950" max="8950" width="18" style="136" customWidth="1"/>
    <col min="8951" max="8951" width="23.6640625" style="136" customWidth="1"/>
    <col min="8952" max="8952" width="26" style="136" customWidth="1"/>
    <col min="8953" max="8953" width="21.5" style="136" customWidth="1"/>
    <col min="8954" max="8954" width="20.83203125" style="136" customWidth="1"/>
    <col min="8955" max="8955" width="0" style="136" hidden="1" customWidth="1"/>
    <col min="8956" max="9203" width="9.1640625" style="136"/>
    <col min="9204" max="9204" width="21.5" style="136" customWidth="1"/>
    <col min="9205" max="9205" width="16.5" style="136" customWidth="1"/>
    <col min="9206" max="9206" width="18" style="136" customWidth="1"/>
    <col min="9207" max="9207" width="23.6640625" style="136" customWidth="1"/>
    <col min="9208" max="9208" width="26" style="136" customWidth="1"/>
    <col min="9209" max="9209" width="21.5" style="136" customWidth="1"/>
    <col min="9210" max="9210" width="20.83203125" style="136" customWidth="1"/>
    <col min="9211" max="9211" width="0" style="136" hidden="1" customWidth="1"/>
    <col min="9212" max="9459" width="9.1640625" style="136"/>
    <col min="9460" max="9460" width="21.5" style="136" customWidth="1"/>
    <col min="9461" max="9461" width="16.5" style="136" customWidth="1"/>
    <col min="9462" max="9462" width="18" style="136" customWidth="1"/>
    <col min="9463" max="9463" width="23.6640625" style="136" customWidth="1"/>
    <col min="9464" max="9464" width="26" style="136" customWidth="1"/>
    <col min="9465" max="9465" width="21.5" style="136" customWidth="1"/>
    <col min="9466" max="9466" width="20.83203125" style="136" customWidth="1"/>
    <col min="9467" max="9467" width="0" style="136" hidden="1" customWidth="1"/>
    <col min="9468" max="9715" width="9.1640625" style="136"/>
    <col min="9716" max="9716" width="21.5" style="136" customWidth="1"/>
    <col min="9717" max="9717" width="16.5" style="136" customWidth="1"/>
    <col min="9718" max="9718" width="18" style="136" customWidth="1"/>
    <col min="9719" max="9719" width="23.6640625" style="136" customWidth="1"/>
    <col min="9720" max="9720" width="26" style="136" customWidth="1"/>
    <col min="9721" max="9721" width="21.5" style="136" customWidth="1"/>
    <col min="9722" max="9722" width="20.83203125" style="136" customWidth="1"/>
    <col min="9723" max="9723" width="0" style="136" hidden="1" customWidth="1"/>
    <col min="9724" max="9971" width="9.1640625" style="136"/>
    <col min="9972" max="9972" width="21.5" style="136" customWidth="1"/>
    <col min="9973" max="9973" width="16.5" style="136" customWidth="1"/>
    <col min="9974" max="9974" width="18" style="136" customWidth="1"/>
    <col min="9975" max="9975" width="23.6640625" style="136" customWidth="1"/>
    <col min="9976" max="9976" width="26" style="136" customWidth="1"/>
    <col min="9977" max="9977" width="21.5" style="136" customWidth="1"/>
    <col min="9978" max="9978" width="20.83203125" style="136" customWidth="1"/>
    <col min="9979" max="9979" width="0" style="136" hidden="1" customWidth="1"/>
    <col min="9980" max="10227" width="9.1640625" style="136"/>
    <col min="10228" max="10228" width="21.5" style="136" customWidth="1"/>
    <col min="10229" max="10229" width="16.5" style="136" customWidth="1"/>
    <col min="10230" max="10230" width="18" style="136" customWidth="1"/>
    <col min="10231" max="10231" width="23.6640625" style="136" customWidth="1"/>
    <col min="10232" max="10232" width="26" style="136" customWidth="1"/>
    <col min="10233" max="10233" width="21.5" style="136" customWidth="1"/>
    <col min="10234" max="10234" width="20.83203125" style="136" customWidth="1"/>
    <col min="10235" max="10235" width="0" style="136" hidden="1" customWidth="1"/>
    <col min="10236" max="10483" width="9.1640625" style="136"/>
    <col min="10484" max="10484" width="21.5" style="136" customWidth="1"/>
    <col min="10485" max="10485" width="16.5" style="136" customWidth="1"/>
    <col min="10486" max="10486" width="18" style="136" customWidth="1"/>
    <col min="10487" max="10487" width="23.6640625" style="136" customWidth="1"/>
    <col min="10488" max="10488" width="26" style="136" customWidth="1"/>
    <col min="10489" max="10489" width="21.5" style="136" customWidth="1"/>
    <col min="10490" max="10490" width="20.83203125" style="136" customWidth="1"/>
    <col min="10491" max="10491" width="0" style="136" hidden="1" customWidth="1"/>
    <col min="10492" max="10739" width="9.1640625" style="136"/>
    <col min="10740" max="10740" width="21.5" style="136" customWidth="1"/>
    <col min="10741" max="10741" width="16.5" style="136" customWidth="1"/>
    <col min="10742" max="10742" width="18" style="136" customWidth="1"/>
    <col min="10743" max="10743" width="23.6640625" style="136" customWidth="1"/>
    <col min="10744" max="10744" width="26" style="136" customWidth="1"/>
    <col min="10745" max="10745" width="21.5" style="136" customWidth="1"/>
    <col min="10746" max="10746" width="20.83203125" style="136" customWidth="1"/>
    <col min="10747" max="10747" width="0" style="136" hidden="1" customWidth="1"/>
    <col min="10748" max="10995" width="9.1640625" style="136"/>
    <col min="10996" max="10996" width="21.5" style="136" customWidth="1"/>
    <col min="10997" max="10997" width="16.5" style="136" customWidth="1"/>
    <col min="10998" max="10998" width="18" style="136" customWidth="1"/>
    <col min="10999" max="10999" width="23.6640625" style="136" customWidth="1"/>
    <col min="11000" max="11000" width="26" style="136" customWidth="1"/>
    <col min="11001" max="11001" width="21.5" style="136" customWidth="1"/>
    <col min="11002" max="11002" width="20.83203125" style="136" customWidth="1"/>
    <col min="11003" max="11003" width="0" style="136" hidden="1" customWidth="1"/>
    <col min="11004" max="11251" width="9.1640625" style="136"/>
    <col min="11252" max="11252" width="21.5" style="136" customWidth="1"/>
    <col min="11253" max="11253" width="16.5" style="136" customWidth="1"/>
    <col min="11254" max="11254" width="18" style="136" customWidth="1"/>
    <col min="11255" max="11255" width="23.6640625" style="136" customWidth="1"/>
    <col min="11256" max="11256" width="26" style="136" customWidth="1"/>
    <col min="11257" max="11257" width="21.5" style="136" customWidth="1"/>
    <col min="11258" max="11258" width="20.83203125" style="136" customWidth="1"/>
    <col min="11259" max="11259" width="0" style="136" hidden="1" customWidth="1"/>
    <col min="11260" max="11507" width="9.1640625" style="136"/>
    <col min="11508" max="11508" width="21.5" style="136" customWidth="1"/>
    <col min="11509" max="11509" width="16.5" style="136" customWidth="1"/>
    <col min="11510" max="11510" width="18" style="136" customWidth="1"/>
    <col min="11511" max="11511" width="23.6640625" style="136" customWidth="1"/>
    <col min="11512" max="11512" width="26" style="136" customWidth="1"/>
    <col min="11513" max="11513" width="21.5" style="136" customWidth="1"/>
    <col min="11514" max="11514" width="20.83203125" style="136" customWidth="1"/>
    <col min="11515" max="11515" width="0" style="136" hidden="1" customWidth="1"/>
    <col min="11516" max="11763" width="9.1640625" style="136"/>
    <col min="11764" max="11764" width="21.5" style="136" customWidth="1"/>
    <col min="11765" max="11765" width="16.5" style="136" customWidth="1"/>
    <col min="11766" max="11766" width="18" style="136" customWidth="1"/>
    <col min="11767" max="11767" width="23.6640625" style="136" customWidth="1"/>
    <col min="11768" max="11768" width="26" style="136" customWidth="1"/>
    <col min="11769" max="11769" width="21.5" style="136" customWidth="1"/>
    <col min="11770" max="11770" width="20.83203125" style="136" customWidth="1"/>
    <col min="11771" max="11771" width="0" style="136" hidden="1" customWidth="1"/>
    <col min="11772" max="12019" width="9.1640625" style="136"/>
    <col min="12020" max="12020" width="21.5" style="136" customWidth="1"/>
    <col min="12021" max="12021" width="16.5" style="136" customWidth="1"/>
    <col min="12022" max="12022" width="18" style="136" customWidth="1"/>
    <col min="12023" max="12023" width="23.6640625" style="136" customWidth="1"/>
    <col min="12024" max="12024" width="26" style="136" customWidth="1"/>
    <col min="12025" max="12025" width="21.5" style="136" customWidth="1"/>
    <col min="12026" max="12026" width="20.83203125" style="136" customWidth="1"/>
    <col min="12027" max="12027" width="0" style="136" hidden="1" customWidth="1"/>
    <col min="12028" max="12275" width="9.1640625" style="136"/>
    <col min="12276" max="12276" width="21.5" style="136" customWidth="1"/>
    <col min="12277" max="12277" width="16.5" style="136" customWidth="1"/>
    <col min="12278" max="12278" width="18" style="136" customWidth="1"/>
    <col min="12279" max="12279" width="23.6640625" style="136" customWidth="1"/>
    <col min="12280" max="12280" width="26" style="136" customWidth="1"/>
    <col min="12281" max="12281" width="21.5" style="136" customWidth="1"/>
    <col min="12282" max="12282" width="20.83203125" style="136" customWidth="1"/>
    <col min="12283" max="12283" width="0" style="136" hidden="1" customWidth="1"/>
    <col min="12284" max="12531" width="9.1640625" style="136"/>
    <col min="12532" max="12532" width="21.5" style="136" customWidth="1"/>
    <col min="12533" max="12533" width="16.5" style="136" customWidth="1"/>
    <col min="12534" max="12534" width="18" style="136" customWidth="1"/>
    <col min="12535" max="12535" width="23.6640625" style="136" customWidth="1"/>
    <col min="12536" max="12536" width="26" style="136" customWidth="1"/>
    <col min="12537" max="12537" width="21.5" style="136" customWidth="1"/>
    <col min="12538" max="12538" width="20.83203125" style="136" customWidth="1"/>
    <col min="12539" max="12539" width="0" style="136" hidden="1" customWidth="1"/>
    <col min="12540" max="12787" width="9.1640625" style="136"/>
    <col min="12788" max="12788" width="21.5" style="136" customWidth="1"/>
    <col min="12789" max="12789" width="16.5" style="136" customWidth="1"/>
    <col min="12790" max="12790" width="18" style="136" customWidth="1"/>
    <col min="12791" max="12791" width="23.6640625" style="136" customWidth="1"/>
    <col min="12792" max="12792" width="26" style="136" customWidth="1"/>
    <col min="12793" max="12793" width="21.5" style="136" customWidth="1"/>
    <col min="12794" max="12794" width="20.83203125" style="136" customWidth="1"/>
    <col min="12795" max="12795" width="0" style="136" hidden="1" customWidth="1"/>
    <col min="12796" max="13043" width="9.1640625" style="136"/>
    <col min="13044" max="13044" width="21.5" style="136" customWidth="1"/>
    <col min="13045" max="13045" width="16.5" style="136" customWidth="1"/>
    <col min="13046" max="13046" width="18" style="136" customWidth="1"/>
    <col min="13047" max="13047" width="23.6640625" style="136" customWidth="1"/>
    <col min="13048" max="13048" width="26" style="136" customWidth="1"/>
    <col min="13049" max="13049" width="21.5" style="136" customWidth="1"/>
    <col min="13050" max="13050" width="20.83203125" style="136" customWidth="1"/>
    <col min="13051" max="13051" width="0" style="136" hidden="1" customWidth="1"/>
    <col min="13052" max="13299" width="9.1640625" style="136"/>
    <col min="13300" max="13300" width="21.5" style="136" customWidth="1"/>
    <col min="13301" max="13301" width="16.5" style="136" customWidth="1"/>
    <col min="13302" max="13302" width="18" style="136" customWidth="1"/>
    <col min="13303" max="13303" width="23.6640625" style="136" customWidth="1"/>
    <col min="13304" max="13304" width="26" style="136" customWidth="1"/>
    <col min="13305" max="13305" width="21.5" style="136" customWidth="1"/>
    <col min="13306" max="13306" width="20.83203125" style="136" customWidth="1"/>
    <col min="13307" max="13307" width="0" style="136" hidden="1" customWidth="1"/>
    <col min="13308" max="13555" width="9.1640625" style="136"/>
    <col min="13556" max="13556" width="21.5" style="136" customWidth="1"/>
    <col min="13557" max="13557" width="16.5" style="136" customWidth="1"/>
    <col min="13558" max="13558" width="18" style="136" customWidth="1"/>
    <col min="13559" max="13559" width="23.6640625" style="136" customWidth="1"/>
    <col min="13560" max="13560" width="26" style="136" customWidth="1"/>
    <col min="13561" max="13561" width="21.5" style="136" customWidth="1"/>
    <col min="13562" max="13562" width="20.83203125" style="136" customWidth="1"/>
    <col min="13563" max="13563" width="0" style="136" hidden="1" customWidth="1"/>
    <col min="13564" max="13811" width="9.1640625" style="136"/>
    <col min="13812" max="13812" width="21.5" style="136" customWidth="1"/>
    <col min="13813" max="13813" width="16.5" style="136" customWidth="1"/>
    <col min="13814" max="13814" width="18" style="136" customWidth="1"/>
    <col min="13815" max="13815" width="23.6640625" style="136" customWidth="1"/>
    <col min="13816" max="13816" width="26" style="136" customWidth="1"/>
    <col min="13817" max="13817" width="21.5" style="136" customWidth="1"/>
    <col min="13818" max="13818" width="20.83203125" style="136" customWidth="1"/>
    <col min="13819" max="13819" width="0" style="136" hidden="1" customWidth="1"/>
    <col min="13820" max="14067" width="9.1640625" style="136"/>
    <col min="14068" max="14068" width="21.5" style="136" customWidth="1"/>
    <col min="14069" max="14069" width="16.5" style="136" customWidth="1"/>
    <col min="14070" max="14070" width="18" style="136" customWidth="1"/>
    <col min="14071" max="14071" width="23.6640625" style="136" customWidth="1"/>
    <col min="14072" max="14072" width="26" style="136" customWidth="1"/>
    <col min="14073" max="14073" width="21.5" style="136" customWidth="1"/>
    <col min="14074" max="14074" width="20.83203125" style="136" customWidth="1"/>
    <col min="14075" max="14075" width="0" style="136" hidden="1" customWidth="1"/>
    <col min="14076" max="14323" width="9.1640625" style="136"/>
    <col min="14324" max="14324" width="21.5" style="136" customWidth="1"/>
    <col min="14325" max="14325" width="16.5" style="136" customWidth="1"/>
    <col min="14326" max="14326" width="18" style="136" customWidth="1"/>
    <col min="14327" max="14327" width="23.6640625" style="136" customWidth="1"/>
    <col min="14328" max="14328" width="26" style="136" customWidth="1"/>
    <col min="14329" max="14329" width="21.5" style="136" customWidth="1"/>
    <col min="14330" max="14330" width="20.83203125" style="136" customWidth="1"/>
    <col min="14331" max="14331" width="0" style="136" hidden="1" customWidth="1"/>
    <col min="14332" max="14579" width="9.1640625" style="136"/>
    <col min="14580" max="14580" width="21.5" style="136" customWidth="1"/>
    <col min="14581" max="14581" width="16.5" style="136" customWidth="1"/>
    <col min="14582" max="14582" width="18" style="136" customWidth="1"/>
    <col min="14583" max="14583" width="23.6640625" style="136" customWidth="1"/>
    <col min="14584" max="14584" width="26" style="136" customWidth="1"/>
    <col min="14585" max="14585" width="21.5" style="136" customWidth="1"/>
    <col min="14586" max="14586" width="20.83203125" style="136" customWidth="1"/>
    <col min="14587" max="14587" width="0" style="136" hidden="1" customWidth="1"/>
    <col min="14588" max="14835" width="9.1640625" style="136"/>
    <col min="14836" max="14836" width="21.5" style="136" customWidth="1"/>
    <col min="14837" max="14837" width="16.5" style="136" customWidth="1"/>
    <col min="14838" max="14838" width="18" style="136" customWidth="1"/>
    <col min="14839" max="14839" width="23.6640625" style="136" customWidth="1"/>
    <col min="14840" max="14840" width="26" style="136" customWidth="1"/>
    <col min="14841" max="14841" width="21.5" style="136" customWidth="1"/>
    <col min="14842" max="14842" width="20.83203125" style="136" customWidth="1"/>
    <col min="14843" max="14843" width="0" style="136" hidden="1" customWidth="1"/>
    <col min="14844" max="15091" width="9.1640625" style="136"/>
    <col min="15092" max="15092" width="21.5" style="136" customWidth="1"/>
    <col min="15093" max="15093" width="16.5" style="136" customWidth="1"/>
    <col min="15094" max="15094" width="18" style="136" customWidth="1"/>
    <col min="15095" max="15095" width="23.6640625" style="136" customWidth="1"/>
    <col min="15096" max="15096" width="26" style="136" customWidth="1"/>
    <col min="15097" max="15097" width="21.5" style="136" customWidth="1"/>
    <col min="15098" max="15098" width="20.83203125" style="136" customWidth="1"/>
    <col min="15099" max="15099" width="0" style="136" hidden="1" customWidth="1"/>
    <col min="15100" max="15347" width="9.1640625" style="136"/>
    <col min="15348" max="15348" width="21.5" style="136" customWidth="1"/>
    <col min="15349" max="15349" width="16.5" style="136" customWidth="1"/>
    <col min="15350" max="15350" width="18" style="136" customWidth="1"/>
    <col min="15351" max="15351" width="23.6640625" style="136" customWidth="1"/>
    <col min="15352" max="15352" width="26" style="136" customWidth="1"/>
    <col min="15353" max="15353" width="21.5" style="136" customWidth="1"/>
    <col min="15354" max="15354" width="20.83203125" style="136" customWidth="1"/>
    <col min="15355" max="15355" width="0" style="136" hidden="1" customWidth="1"/>
    <col min="15356" max="15603" width="9.1640625" style="136"/>
    <col min="15604" max="15604" width="21.5" style="136" customWidth="1"/>
    <col min="15605" max="15605" width="16.5" style="136" customWidth="1"/>
    <col min="15606" max="15606" width="18" style="136" customWidth="1"/>
    <col min="15607" max="15607" width="23.6640625" style="136" customWidth="1"/>
    <col min="15608" max="15608" width="26" style="136" customWidth="1"/>
    <col min="15609" max="15609" width="21.5" style="136" customWidth="1"/>
    <col min="15610" max="15610" width="20.83203125" style="136" customWidth="1"/>
    <col min="15611" max="15611" width="0" style="136" hidden="1" customWidth="1"/>
    <col min="15612" max="15859" width="9.1640625" style="136"/>
    <col min="15860" max="15860" width="21.5" style="136" customWidth="1"/>
    <col min="15861" max="15861" width="16.5" style="136" customWidth="1"/>
    <col min="15862" max="15862" width="18" style="136" customWidth="1"/>
    <col min="15863" max="15863" width="23.6640625" style="136" customWidth="1"/>
    <col min="15864" max="15864" width="26" style="136" customWidth="1"/>
    <col min="15865" max="15865" width="21.5" style="136" customWidth="1"/>
    <col min="15866" max="15866" width="20.83203125" style="136" customWidth="1"/>
    <col min="15867" max="15867" width="0" style="136" hidden="1" customWidth="1"/>
    <col min="15868" max="16115" width="9.1640625" style="136"/>
    <col min="16116" max="16116" width="21.5" style="136" customWidth="1"/>
    <col min="16117" max="16117" width="16.5" style="136" customWidth="1"/>
    <col min="16118" max="16118" width="18" style="136" customWidth="1"/>
    <col min="16119" max="16119" width="23.6640625" style="136" customWidth="1"/>
    <col min="16120" max="16120" width="26" style="136" customWidth="1"/>
    <col min="16121" max="16121" width="21.5" style="136" customWidth="1"/>
    <col min="16122" max="16122" width="20.83203125" style="136" customWidth="1"/>
    <col min="16123" max="16123" width="0" style="136" hidden="1" customWidth="1"/>
    <col min="16124" max="16384" width="9.1640625" style="136"/>
  </cols>
  <sheetData>
    <row r="1" spans="2:15" ht="9" customHeight="1"/>
    <row r="2" spans="2:15" ht="30" customHeight="1">
      <c r="B2" s="173" t="s">
        <v>198</v>
      </c>
      <c r="C2" s="174"/>
      <c r="D2" s="174"/>
      <c r="E2" s="174"/>
      <c r="F2" s="174"/>
      <c r="G2" s="174"/>
      <c r="H2" s="174"/>
      <c r="I2" s="174"/>
      <c r="J2" s="175"/>
    </row>
    <row r="3" spans="2:15" ht="30" customHeight="1">
      <c r="B3" s="899"/>
      <c r="C3" s="900"/>
      <c r="D3" s="900"/>
      <c r="E3" s="675"/>
      <c r="F3" s="899" t="s">
        <v>179</v>
      </c>
      <c r="G3" s="900"/>
      <c r="H3" s="900"/>
      <c r="I3" s="900"/>
      <c r="J3" s="901"/>
    </row>
    <row r="4" spans="2:15" ht="15" customHeight="1" thickBot="1">
      <c r="B4" s="292"/>
      <c r="C4" s="292"/>
      <c r="D4" s="292"/>
      <c r="E4" s="292"/>
      <c r="F4" s="292"/>
      <c r="G4" s="292"/>
      <c r="H4" s="292"/>
      <c r="I4" s="292"/>
      <c r="J4" s="292"/>
    </row>
    <row r="5" spans="2:15" ht="45" customHeight="1" thickBot="1">
      <c r="B5" s="902" t="s">
        <v>298</v>
      </c>
      <c r="C5" s="903"/>
      <c r="D5" s="904"/>
      <c r="E5" s="292"/>
      <c r="F5" s="899" t="s">
        <v>177</v>
      </c>
      <c r="G5" s="900"/>
      <c r="H5" s="900"/>
      <c r="I5" s="900"/>
      <c r="J5" s="901"/>
    </row>
    <row r="6" spans="2:15" ht="15" thickBot="1">
      <c r="B6" s="393" t="s">
        <v>47</v>
      </c>
      <c r="C6" s="394" t="s">
        <v>57</v>
      </c>
      <c r="D6" s="395" t="s">
        <v>56</v>
      </c>
      <c r="E6" s="150"/>
      <c r="F6" s="395" t="s">
        <v>178</v>
      </c>
      <c r="G6" s="395" t="s">
        <v>178</v>
      </c>
      <c r="H6" s="395" t="s">
        <v>178</v>
      </c>
      <c r="I6" s="395" t="s">
        <v>178</v>
      </c>
      <c r="J6" s="395" t="s">
        <v>178</v>
      </c>
      <c r="K6" s="395" t="s">
        <v>178</v>
      </c>
      <c r="L6" s="395" t="s">
        <v>178</v>
      </c>
      <c r="M6" s="395" t="s">
        <v>178</v>
      </c>
      <c r="N6" s="395" t="s">
        <v>178</v>
      </c>
      <c r="O6" s="395" t="s">
        <v>178</v>
      </c>
    </row>
    <row r="7" spans="2:15" s="764" customFormat="1" ht="30" customHeight="1">
      <c r="B7" s="762" t="s">
        <v>463</v>
      </c>
      <c r="C7" s="760" t="s">
        <v>48</v>
      </c>
      <c r="D7" s="761">
        <f>'Cash Flow'!G75</f>
        <v>18.550000000000008</v>
      </c>
      <c r="E7" s="763"/>
      <c r="F7" s="761"/>
      <c r="G7" s="761"/>
      <c r="H7" s="761"/>
      <c r="I7" s="761"/>
      <c r="J7" s="761"/>
      <c r="K7" s="761"/>
      <c r="L7" s="761"/>
      <c r="M7" s="761"/>
      <c r="N7" s="761"/>
      <c r="O7" s="761"/>
    </row>
    <row r="8" spans="2:15" ht="15.75" customHeight="1">
      <c r="B8" s="176" t="s">
        <v>173</v>
      </c>
      <c r="C8" s="177" t="s">
        <v>1</v>
      </c>
      <c r="D8" s="293">
        <f>Inputs!$Q$8</f>
        <v>0</v>
      </c>
      <c r="E8" s="227"/>
      <c r="F8" s="293"/>
      <c r="G8" s="293"/>
      <c r="H8" s="293"/>
      <c r="I8" s="293"/>
      <c r="J8" s="293"/>
      <c r="K8" s="293"/>
      <c r="L8" s="293"/>
      <c r="M8" s="293"/>
      <c r="N8" s="293"/>
      <c r="O8" s="293"/>
    </row>
    <row r="9" spans="2:15" ht="15.75" customHeight="1">
      <c r="B9" s="178" t="s">
        <v>94</v>
      </c>
      <c r="C9" s="179" t="s">
        <v>1</v>
      </c>
      <c r="D9" s="293">
        <f>Inputs!$Q$7</f>
        <v>0</v>
      </c>
      <c r="E9" s="227"/>
      <c r="F9" s="293"/>
      <c r="G9" s="293"/>
      <c r="H9" s="293"/>
      <c r="I9" s="293"/>
      <c r="J9" s="293"/>
      <c r="K9" s="293"/>
      <c r="L9" s="293"/>
      <c r="M9" s="293"/>
      <c r="N9" s="293"/>
      <c r="O9" s="293"/>
    </row>
    <row r="10" spans="2:15" ht="15">
      <c r="B10" s="404" t="s">
        <v>276</v>
      </c>
      <c r="C10" s="405"/>
      <c r="D10" s="400" t="str">
        <f>IF(Inputs!$G$85="Pass","Yes","No, see Inputs Worksheet")</f>
        <v>Yes</v>
      </c>
      <c r="E10" s="150"/>
      <c r="F10" s="873"/>
      <c r="G10" s="873"/>
      <c r="H10" s="873"/>
      <c r="I10" s="873"/>
      <c r="J10" s="873"/>
      <c r="K10" s="873"/>
      <c r="L10" s="873"/>
      <c r="M10" s="873"/>
      <c r="N10" s="873"/>
      <c r="O10" s="873"/>
    </row>
    <row r="11" spans="2:15" ht="15">
      <c r="B11" s="406" t="s">
        <v>277</v>
      </c>
      <c r="C11" s="407"/>
      <c r="D11" s="400" t="str">
        <f>IF(Inputs!$G$88="Pass","Yes","No, see Inputs Worksheet")</f>
        <v>Yes</v>
      </c>
      <c r="E11" s="150"/>
      <c r="F11" s="873"/>
      <c r="G11" s="873"/>
      <c r="H11" s="873"/>
      <c r="I11" s="873"/>
      <c r="J11" s="873"/>
      <c r="K11" s="873"/>
      <c r="L11" s="873"/>
      <c r="M11" s="873"/>
      <c r="N11" s="873"/>
      <c r="O11" s="873"/>
    </row>
    <row r="12" spans="2:15" ht="15.75" customHeight="1">
      <c r="B12" s="384" t="s">
        <v>289</v>
      </c>
      <c r="C12" s="382"/>
      <c r="D12" s="383"/>
      <c r="E12" s="150"/>
      <c r="F12" s="383"/>
      <c r="G12" s="383"/>
      <c r="H12" s="383"/>
      <c r="I12" s="383"/>
      <c r="J12" s="383"/>
      <c r="K12" s="383"/>
      <c r="L12" s="383"/>
      <c r="M12" s="383"/>
      <c r="N12" s="383"/>
      <c r="O12" s="383"/>
    </row>
    <row r="13" spans="2:15" ht="15.75" customHeight="1">
      <c r="B13" s="304"/>
      <c r="C13" s="177"/>
      <c r="D13" s="305"/>
      <c r="E13" s="150"/>
      <c r="F13" s="305"/>
      <c r="G13" s="305"/>
      <c r="H13" s="305"/>
      <c r="I13" s="305"/>
      <c r="J13" s="305"/>
      <c r="K13" s="305"/>
      <c r="L13" s="305"/>
      <c r="M13" s="305"/>
      <c r="N13" s="305"/>
      <c r="O13" s="305"/>
    </row>
    <row r="14" spans="2:15" s="764" customFormat="1" ht="30" customHeight="1">
      <c r="B14" s="765" t="s">
        <v>464</v>
      </c>
      <c r="C14" s="766" t="s">
        <v>48</v>
      </c>
      <c r="D14" s="767">
        <f>-PMT(Inputs!$G$90,Inputs!$Q$6,NPV(Inputs!$G$90,'Cash Flow'!G14:AJ14))</f>
        <v>18.550000000000018</v>
      </c>
      <c r="E14" s="768"/>
      <c r="F14" s="767"/>
      <c r="G14" s="767"/>
      <c r="H14" s="767"/>
      <c r="I14" s="767"/>
      <c r="J14" s="767"/>
      <c r="K14" s="767"/>
      <c r="L14" s="767"/>
      <c r="M14" s="767"/>
      <c r="N14" s="767"/>
      <c r="O14" s="767"/>
    </row>
    <row r="15" spans="2:15" s="156" customFormat="1">
      <c r="C15" s="180"/>
      <c r="D15" s="181"/>
      <c r="E15" s="155"/>
      <c r="F15" s="181"/>
      <c r="G15" s="181"/>
      <c r="H15" s="181"/>
      <c r="I15" s="181"/>
      <c r="J15" s="181"/>
      <c r="K15" s="181"/>
      <c r="L15" s="181"/>
      <c r="M15" s="181"/>
      <c r="N15" s="181"/>
      <c r="O15" s="181"/>
    </row>
    <row r="16" spans="2:15" s="156" customFormat="1" ht="15.75" customHeight="1">
      <c r="B16" s="182" t="s">
        <v>46</v>
      </c>
      <c r="C16" s="307"/>
      <c r="D16" s="306"/>
      <c r="E16" s="150"/>
      <c r="F16" s="306"/>
      <c r="G16" s="306"/>
      <c r="H16" s="306"/>
      <c r="I16" s="306"/>
      <c r="J16" s="306"/>
      <c r="K16" s="306"/>
      <c r="L16" s="306"/>
      <c r="M16" s="306"/>
      <c r="N16" s="306"/>
      <c r="O16" s="306"/>
    </row>
    <row r="17" spans="2:15">
      <c r="B17" s="176"/>
      <c r="C17" s="177"/>
      <c r="D17" s="344"/>
      <c r="E17" s="183"/>
      <c r="F17" s="344"/>
      <c r="G17" s="344"/>
      <c r="H17" s="344"/>
      <c r="I17" s="344"/>
      <c r="J17" s="344"/>
      <c r="K17" s="344"/>
      <c r="L17" s="344"/>
      <c r="M17" s="344"/>
      <c r="N17" s="344"/>
      <c r="O17" s="344"/>
    </row>
    <row r="18" spans="2:15">
      <c r="B18" s="176" t="str">
        <f>Inputs!$E$6</f>
        <v>Generator Gross Nameplate Capacity</v>
      </c>
      <c r="C18" s="177" t="str">
        <f>Inputs!F6</f>
        <v>MW</v>
      </c>
      <c r="D18" s="188">
        <f>Inputs!G6</f>
        <v>15</v>
      </c>
      <c r="E18" s="185"/>
      <c r="F18" s="188"/>
      <c r="G18" s="188"/>
      <c r="H18" s="188"/>
      <c r="I18" s="188"/>
      <c r="J18" s="188"/>
      <c r="K18" s="188"/>
      <c r="L18" s="188"/>
      <c r="M18" s="188"/>
      <c r="N18" s="188"/>
      <c r="O18" s="188"/>
    </row>
    <row r="19" spans="2:15">
      <c r="B19" s="176" t="str">
        <f>Inputs!$E$7</f>
        <v>Net Capacity Factor, Yr 1</v>
      </c>
      <c r="C19" s="177" t="str">
        <f>Inputs!$F$7</f>
        <v>%</v>
      </c>
      <c r="D19" s="186">
        <f>Inputs!$G$7</f>
        <v>0.85499999999999998</v>
      </c>
      <c r="E19" s="187"/>
      <c r="F19" s="186"/>
      <c r="G19" s="186"/>
      <c r="H19" s="186"/>
      <c r="I19" s="186"/>
      <c r="J19" s="186"/>
      <c r="K19" s="186"/>
      <c r="L19" s="186"/>
      <c r="M19" s="186"/>
      <c r="N19" s="186"/>
      <c r="O19" s="186"/>
    </row>
    <row r="20" spans="2:15">
      <c r="B20" s="176" t="str">
        <f>Inputs!$E$15</f>
        <v>Annual Degradation of Thermal Resource</v>
      </c>
      <c r="C20" s="177" t="str">
        <f>Inputs!F15</f>
        <v>%</v>
      </c>
      <c r="D20" s="186">
        <f>Inputs!G15</f>
        <v>0.03</v>
      </c>
      <c r="E20" s="187"/>
      <c r="F20" s="186"/>
      <c r="G20" s="186"/>
      <c r="H20" s="186"/>
      <c r="I20" s="186"/>
      <c r="J20" s="186"/>
      <c r="K20" s="186"/>
      <c r="L20" s="186"/>
      <c r="M20" s="186"/>
      <c r="N20" s="186"/>
      <c r="O20" s="186"/>
    </row>
    <row r="21" spans="2:15">
      <c r="B21" s="176" t="s">
        <v>247</v>
      </c>
      <c r="C21" s="177" t="s">
        <v>2</v>
      </c>
      <c r="D21" s="751">
        <f>Inputs!G8</f>
        <v>112347000</v>
      </c>
      <c r="E21" s="187"/>
      <c r="F21" s="751"/>
      <c r="G21" s="751"/>
      <c r="H21" s="751"/>
      <c r="I21" s="751"/>
      <c r="J21" s="751"/>
      <c r="K21" s="751"/>
      <c r="L21" s="751"/>
      <c r="M21" s="751"/>
      <c r="N21" s="751"/>
      <c r="O21" s="751"/>
    </row>
    <row r="22" spans="2:15">
      <c r="B22" s="176" t="str">
        <f>Inputs!E17</f>
        <v>Project Useful Life</v>
      </c>
      <c r="C22" s="177" t="str">
        <f>Inputs!F17</f>
        <v>years</v>
      </c>
      <c r="D22" s="188">
        <f>Inputs!G17</f>
        <v>25</v>
      </c>
      <c r="E22" s="183"/>
      <c r="F22" s="188"/>
      <c r="G22" s="188"/>
      <c r="H22" s="188"/>
      <c r="I22" s="188"/>
      <c r="J22" s="188"/>
      <c r="K22" s="188"/>
      <c r="L22" s="188"/>
      <c r="M22" s="188"/>
      <c r="N22" s="188"/>
      <c r="O22" s="188"/>
    </row>
    <row r="23" spans="2:15">
      <c r="B23" s="176" t="str">
        <f>Inputs!$O$6</f>
        <v>Payment Duration for Cost-Based Tariff</v>
      </c>
      <c r="C23" s="177" t="s">
        <v>4</v>
      </c>
      <c r="D23" s="188">
        <f>Inputs!$Q$6</f>
        <v>20</v>
      </c>
      <c r="E23" s="183"/>
      <c r="F23" s="188"/>
      <c r="G23" s="188"/>
      <c r="H23" s="188"/>
      <c r="I23" s="188"/>
      <c r="J23" s="188"/>
      <c r="K23" s="188"/>
      <c r="L23" s="188"/>
      <c r="M23" s="188"/>
      <c r="N23" s="188"/>
      <c r="O23" s="188"/>
    </row>
    <row r="24" spans="2:15">
      <c r="B24" s="176" t="s">
        <v>448</v>
      </c>
      <c r="C24" s="177" t="s">
        <v>1</v>
      </c>
      <c r="D24" s="752">
        <f>Inputs!Q7</f>
        <v>0</v>
      </c>
      <c r="E24" s="183"/>
      <c r="F24" s="752"/>
      <c r="G24" s="752"/>
      <c r="H24" s="752"/>
      <c r="I24" s="752"/>
      <c r="J24" s="752"/>
      <c r="K24" s="752"/>
      <c r="L24" s="752"/>
      <c r="M24" s="752"/>
      <c r="N24" s="752"/>
      <c r="O24" s="752"/>
    </row>
    <row r="25" spans="2:15">
      <c r="B25" s="176"/>
      <c r="C25" s="177"/>
      <c r="D25" s="188"/>
      <c r="E25" s="183"/>
      <c r="F25" s="188"/>
      <c r="G25" s="188"/>
      <c r="H25" s="188"/>
      <c r="I25" s="188"/>
      <c r="J25" s="188"/>
      <c r="K25" s="188"/>
      <c r="L25" s="188"/>
      <c r="M25" s="188"/>
      <c r="N25" s="188"/>
      <c r="O25" s="188"/>
    </row>
    <row r="26" spans="2:15">
      <c r="B26" s="176" t="s">
        <v>443</v>
      </c>
      <c r="C26" s="177" t="s">
        <v>0</v>
      </c>
      <c r="D26" s="189">
        <f>Inputs!G75-Inputs!G106</f>
        <v>144341778.56270039</v>
      </c>
      <c r="E26" s="190"/>
      <c r="F26" s="189"/>
      <c r="G26" s="189"/>
      <c r="H26" s="189"/>
      <c r="I26" s="189"/>
      <c r="J26" s="189"/>
      <c r="K26" s="189"/>
      <c r="L26" s="189"/>
      <c r="M26" s="189"/>
      <c r="N26" s="189"/>
      <c r="O26" s="189"/>
    </row>
    <row r="27" spans="2:15" ht="15">
      <c r="B27" s="176" t="s">
        <v>443</v>
      </c>
      <c r="C27" s="191" t="s">
        <v>323</v>
      </c>
      <c r="D27" s="189">
        <f>D26/(D18*1000)</f>
        <v>9622.7852375133589</v>
      </c>
      <c r="E27" s="192"/>
      <c r="F27" s="189"/>
      <c r="G27" s="189"/>
      <c r="H27" s="189"/>
      <c r="I27" s="189"/>
      <c r="J27" s="189"/>
      <c r="K27" s="189"/>
      <c r="L27" s="189"/>
      <c r="M27" s="189"/>
      <c r="N27" s="189"/>
      <c r="O27" s="189"/>
    </row>
    <row r="28" spans="2:15">
      <c r="B28" s="176"/>
      <c r="C28" s="177"/>
      <c r="D28" s="188"/>
      <c r="E28" s="183"/>
      <c r="F28" s="188"/>
      <c r="G28" s="188"/>
      <c r="H28" s="188"/>
      <c r="I28" s="188"/>
      <c r="J28" s="188"/>
      <c r="K28" s="188"/>
      <c r="L28" s="188"/>
      <c r="M28" s="188"/>
      <c r="N28" s="188"/>
      <c r="O28" s="188"/>
    </row>
    <row r="29" spans="2:15" ht="15">
      <c r="B29" s="176" t="s">
        <v>449</v>
      </c>
      <c r="C29" s="750" t="s">
        <v>455</v>
      </c>
      <c r="D29" s="753">
        <f>'Cash Flow'!G40</f>
        <v>-4.1851318048657289</v>
      </c>
      <c r="E29" s="183"/>
      <c r="F29" s="753"/>
      <c r="G29" s="753"/>
      <c r="H29" s="753"/>
      <c r="I29" s="753"/>
      <c r="J29" s="753"/>
      <c r="K29" s="753"/>
      <c r="L29" s="753"/>
      <c r="M29" s="753"/>
      <c r="N29" s="753"/>
      <c r="O29" s="753"/>
    </row>
    <row r="30" spans="2:15">
      <c r="B30" s="176"/>
      <c r="C30" s="177"/>
      <c r="D30" s="188"/>
      <c r="E30" s="183"/>
      <c r="F30" s="188"/>
      <c r="G30" s="188"/>
      <c r="H30" s="188"/>
      <c r="I30" s="188"/>
      <c r="J30" s="188"/>
      <c r="K30" s="188"/>
      <c r="L30" s="188"/>
      <c r="M30" s="188"/>
      <c r="N30" s="188"/>
      <c r="O30" s="188"/>
    </row>
    <row r="31" spans="2:15" ht="15">
      <c r="B31" s="176" t="str">
        <f>Inputs!$E$89</f>
        <v>% Equity (% hard costs) (soft costs also equity funded)</v>
      </c>
      <c r="C31" s="191" t="s">
        <v>1</v>
      </c>
      <c r="D31" s="193">
        <f>Inputs!$G89</f>
        <v>0.5</v>
      </c>
      <c r="E31" s="194"/>
      <c r="F31" s="193"/>
      <c r="G31" s="193"/>
      <c r="H31" s="193"/>
      <c r="I31" s="193"/>
      <c r="J31" s="193"/>
      <c r="K31" s="193"/>
      <c r="L31" s="193"/>
      <c r="M31" s="193"/>
      <c r="N31" s="193"/>
      <c r="O31" s="193"/>
    </row>
    <row r="32" spans="2:15">
      <c r="B32" s="176" t="str">
        <f>Inputs!$E$90</f>
        <v>Target After-Tax Equity IRR</v>
      </c>
      <c r="C32" s="177" t="s">
        <v>1</v>
      </c>
      <c r="D32" s="294">
        <f>Inputs!$G90</f>
        <v>0.15</v>
      </c>
      <c r="E32" s="194"/>
      <c r="F32" s="294"/>
      <c r="G32" s="294"/>
      <c r="H32" s="294"/>
      <c r="I32" s="294"/>
      <c r="J32" s="294"/>
      <c r="K32" s="294"/>
      <c r="L32" s="294"/>
      <c r="M32" s="294"/>
      <c r="N32" s="294"/>
      <c r="O32" s="294"/>
    </row>
    <row r="33" spans="2:15" ht="15">
      <c r="B33" s="176" t="str">
        <f>Inputs!$E$79</f>
        <v>% Debt (% of hard costs) (mortgage-style amort.)</v>
      </c>
      <c r="C33" s="191" t="s">
        <v>1</v>
      </c>
      <c r="D33" s="193">
        <f>Inputs!$G79</f>
        <v>0.5</v>
      </c>
      <c r="E33" s="194"/>
      <c r="F33" s="193"/>
      <c r="G33" s="193"/>
      <c r="H33" s="193"/>
      <c r="I33" s="193"/>
      <c r="J33" s="193"/>
      <c r="K33" s="193"/>
      <c r="L33" s="193"/>
      <c r="M33" s="193"/>
      <c r="N33" s="193"/>
      <c r="O33" s="193"/>
    </row>
    <row r="34" spans="2:15" ht="15">
      <c r="B34" s="176" t="s">
        <v>447</v>
      </c>
      <c r="C34" s="191" t="s">
        <v>454</v>
      </c>
      <c r="D34" s="188">
        <f>IF(Inputs!G79&gt;0,Inputs!G80,"NA")</f>
        <v>15</v>
      </c>
      <c r="E34" s="194"/>
      <c r="F34" s="188"/>
      <c r="G34" s="188"/>
      <c r="H34" s="188"/>
      <c r="I34" s="188"/>
      <c r="J34" s="188"/>
      <c r="K34" s="188"/>
      <c r="L34" s="188"/>
      <c r="M34" s="188"/>
      <c r="N34" s="188"/>
      <c r="O34" s="188"/>
    </row>
    <row r="35" spans="2:15" ht="15">
      <c r="B35" s="176" t="str">
        <f>Inputs!$E$81</f>
        <v>Interest Rate on Term Debt</v>
      </c>
      <c r="C35" s="191" t="s">
        <v>1</v>
      </c>
      <c r="D35" s="294">
        <f>IF(Inputs!G79&gt;0,Inputs!$G81,"NA")</f>
        <v>7.0000000000000007E-2</v>
      </c>
      <c r="E35" s="194"/>
      <c r="F35" s="294"/>
      <c r="G35" s="294"/>
      <c r="H35" s="294"/>
      <c r="I35" s="294"/>
      <c r="J35" s="294"/>
      <c r="K35" s="294"/>
      <c r="L35" s="294"/>
      <c r="M35" s="294"/>
      <c r="N35" s="294"/>
      <c r="O35" s="294"/>
    </row>
    <row r="36" spans="2:15">
      <c r="B36" s="176" t="str">
        <f>Inputs!$O$104</f>
        <v>Is owner a taxable entity?</v>
      </c>
      <c r="C36" s="184"/>
      <c r="D36" s="193" t="str">
        <f>Inputs!$Q$104</f>
        <v>Yes</v>
      </c>
      <c r="E36" s="195"/>
      <c r="F36" s="193"/>
      <c r="G36" s="193"/>
      <c r="H36" s="193"/>
      <c r="I36" s="193"/>
      <c r="J36" s="193"/>
      <c r="K36" s="193"/>
      <c r="L36" s="193"/>
      <c r="M36" s="193"/>
      <c r="N36" s="193"/>
      <c r="O36" s="193"/>
    </row>
    <row r="37" spans="2:15">
      <c r="B37" s="176" t="s">
        <v>450</v>
      </c>
      <c r="C37" s="748"/>
      <c r="D37" s="193" t="str">
        <f>IF($D$36="Yes",Inputs!Q106,"NA")</f>
        <v>As Generated</v>
      </c>
      <c r="E37" s="195"/>
      <c r="F37" s="193"/>
      <c r="G37" s="193"/>
      <c r="H37" s="193"/>
      <c r="I37" s="193"/>
      <c r="J37" s="193"/>
      <c r="K37" s="193"/>
      <c r="L37" s="193"/>
      <c r="M37" s="193"/>
      <c r="N37" s="193"/>
      <c r="O37" s="193"/>
    </row>
    <row r="38" spans="2:15">
      <c r="B38" s="176" t="s">
        <v>451</v>
      </c>
      <c r="C38" s="748"/>
      <c r="D38" s="193" t="str">
        <f>IF($D$36="Yes",Inputs!Q108,"NA")</f>
        <v>As Generated</v>
      </c>
      <c r="E38" s="195"/>
      <c r="F38" s="193"/>
      <c r="G38" s="193"/>
      <c r="H38" s="193"/>
      <c r="I38" s="193"/>
      <c r="J38" s="193"/>
      <c r="K38" s="193"/>
      <c r="L38" s="193"/>
      <c r="M38" s="193"/>
      <c r="N38" s="193"/>
      <c r="O38" s="193"/>
    </row>
    <row r="39" spans="2:15">
      <c r="B39" s="176"/>
      <c r="C39" s="184"/>
      <c r="D39" s="193"/>
      <c r="E39" s="195"/>
      <c r="F39" s="193"/>
      <c r="G39" s="193"/>
      <c r="H39" s="193"/>
      <c r="I39" s="193"/>
      <c r="J39" s="193"/>
      <c r="K39" s="193"/>
      <c r="L39" s="193"/>
      <c r="M39" s="193"/>
      <c r="N39" s="193"/>
      <c r="O39" s="193"/>
    </row>
    <row r="40" spans="2:15">
      <c r="B40" s="176" t="s">
        <v>281</v>
      </c>
      <c r="C40" s="177"/>
      <c r="D40" s="189" t="str">
        <f>Inputs!Q55</f>
        <v>Cost-Based</v>
      </c>
      <c r="E40" s="195"/>
      <c r="F40" s="189"/>
      <c r="G40" s="189"/>
      <c r="H40" s="189"/>
      <c r="I40" s="189"/>
      <c r="J40" s="189"/>
      <c r="K40" s="189"/>
      <c r="L40" s="189"/>
      <c r="M40" s="189"/>
      <c r="N40" s="189"/>
      <c r="O40" s="189"/>
    </row>
    <row r="41" spans="2:15">
      <c r="B41" s="176" t="s">
        <v>446</v>
      </c>
      <c r="C41" s="177"/>
      <c r="D41" s="189" t="str">
        <f>IF($D$40="Cost-Based",Inputs!$Q$56,Inputs!$Q$60)</f>
        <v>ITC</v>
      </c>
      <c r="E41" s="195"/>
      <c r="F41" s="189"/>
      <c r="G41" s="189"/>
      <c r="H41" s="189"/>
      <c r="I41" s="189"/>
      <c r="J41" s="189"/>
      <c r="K41" s="189"/>
      <c r="L41" s="189"/>
      <c r="M41" s="189"/>
      <c r="N41" s="189"/>
      <c r="O41" s="189"/>
    </row>
    <row r="42" spans="2:15">
      <c r="B42" s="176"/>
      <c r="C42" s="177"/>
      <c r="D42" s="189"/>
      <c r="E42" s="195"/>
      <c r="F42" s="189"/>
      <c r="G42" s="189"/>
      <c r="H42" s="189"/>
      <c r="I42" s="189"/>
      <c r="J42" s="189"/>
      <c r="K42" s="189"/>
      <c r="L42" s="189"/>
      <c r="M42" s="189"/>
      <c r="N42" s="189"/>
      <c r="O42" s="189"/>
    </row>
    <row r="43" spans="2:15">
      <c r="B43" s="176" t="s">
        <v>151</v>
      </c>
      <c r="C43" s="196"/>
      <c r="D43" s="151" t="str">
        <f>IF(AND(Inputs!$Q$65=0,Inputs!$Q$81=0),"No","Yes")</f>
        <v>No</v>
      </c>
      <c r="E43" s="195"/>
      <c r="F43" s="151"/>
      <c r="G43" s="151"/>
      <c r="H43" s="151"/>
      <c r="I43" s="151"/>
      <c r="J43" s="151"/>
      <c r="K43" s="151"/>
      <c r="L43" s="151"/>
      <c r="M43" s="151"/>
      <c r="N43" s="151"/>
      <c r="O43" s="151"/>
    </row>
    <row r="44" spans="2:15">
      <c r="B44" s="176" t="s">
        <v>452</v>
      </c>
      <c r="C44" s="177" t="s">
        <v>0</v>
      </c>
      <c r="D44" s="189" t="str">
        <f>IF(D43="No","NA",Inputs!$G$106)</f>
        <v>NA</v>
      </c>
      <c r="E44" s="195"/>
      <c r="F44" s="189"/>
      <c r="G44" s="189"/>
      <c r="H44" s="189"/>
      <c r="I44" s="189"/>
      <c r="J44" s="189"/>
      <c r="K44" s="189"/>
      <c r="L44" s="189"/>
      <c r="M44" s="189"/>
      <c r="N44" s="189"/>
      <c r="O44" s="189"/>
    </row>
    <row r="45" spans="2:15">
      <c r="B45" s="176"/>
      <c r="C45" s="177"/>
      <c r="D45" s="189"/>
      <c r="E45" s="195"/>
      <c r="F45" s="189"/>
      <c r="G45" s="189"/>
      <c r="H45" s="189"/>
      <c r="I45" s="189"/>
      <c r="J45" s="189"/>
      <c r="K45" s="189"/>
      <c r="L45" s="189"/>
      <c r="M45" s="189"/>
      <c r="N45" s="189"/>
      <c r="O45" s="189"/>
    </row>
    <row r="46" spans="2:15">
      <c r="B46" s="178" t="s">
        <v>453</v>
      </c>
      <c r="D46" s="754" t="str">
        <f>IF(Inputs!$Q$104="Yes",Inputs!$P$86,"NA")</f>
        <v>No</v>
      </c>
      <c r="E46" s="196"/>
      <c r="F46" s="754"/>
      <c r="G46" s="754"/>
      <c r="H46" s="754"/>
      <c r="I46" s="754"/>
      <c r="J46" s="754"/>
      <c r="K46" s="754"/>
      <c r="L46" s="754"/>
      <c r="M46" s="754"/>
      <c r="N46" s="754"/>
      <c r="O46" s="754"/>
    </row>
    <row r="47" spans="2:15" ht="150.75" customHeight="1">
      <c r="B47" s="367" t="s">
        <v>278</v>
      </c>
      <c r="C47" s="368"/>
      <c r="D47" s="741"/>
      <c r="F47" s="741"/>
      <c r="G47" s="741"/>
      <c r="H47" s="741"/>
      <c r="I47" s="741"/>
      <c r="J47" s="741"/>
      <c r="K47" s="741"/>
      <c r="L47" s="741"/>
      <c r="M47" s="741"/>
      <c r="N47" s="741"/>
      <c r="O47" s="741"/>
    </row>
    <row r="48" spans="2:15" ht="30" customHeight="1">
      <c r="B48" s="220"/>
      <c r="C48" s="220"/>
      <c r="D48" s="220"/>
      <c r="E48" s="220"/>
      <c r="F48" s="220"/>
      <c r="G48" s="220"/>
      <c r="H48" s="220"/>
      <c r="I48" s="220"/>
      <c r="J48" s="220"/>
    </row>
    <row r="49" spans="2:11" s="221" customFormat="1" ht="18">
      <c r="B49" s="220"/>
      <c r="C49" s="220"/>
      <c r="D49" s="222"/>
      <c r="E49" s="220"/>
      <c r="F49" s="220"/>
      <c r="G49" s="220"/>
      <c r="H49" s="220"/>
      <c r="I49" s="220"/>
      <c r="J49" s="220"/>
    </row>
    <row r="50" spans="2:11">
      <c r="B50" s="196"/>
      <c r="C50" s="196"/>
      <c r="D50" s="898"/>
      <c r="E50" s="898"/>
      <c r="F50" s="898"/>
      <c r="G50" s="898"/>
      <c r="H50" s="898"/>
      <c r="I50" s="898"/>
      <c r="J50" s="223"/>
      <c r="K50" s="196"/>
    </row>
    <row r="51" spans="2:11">
      <c r="B51" s="196"/>
      <c r="C51" s="216"/>
      <c r="D51" s="218"/>
      <c r="E51" s="218"/>
      <c r="F51" s="218"/>
      <c r="G51" s="218"/>
      <c r="H51" s="218"/>
      <c r="I51" s="218"/>
      <c r="J51" s="218"/>
      <c r="K51" s="196"/>
    </row>
    <row r="52" spans="2:11">
      <c r="B52" s="897"/>
      <c r="C52" s="219"/>
      <c r="D52" s="196"/>
      <c r="E52" s="196"/>
      <c r="F52" s="196"/>
      <c r="G52" s="196"/>
      <c r="H52" s="196"/>
      <c r="I52" s="196"/>
      <c r="J52" s="196"/>
      <c r="K52" s="196"/>
    </row>
    <row r="53" spans="2:11">
      <c r="B53" s="897"/>
      <c r="C53" s="219"/>
      <c r="D53" s="196"/>
      <c r="E53" s="196"/>
      <c r="F53" s="196"/>
      <c r="G53" s="196"/>
      <c r="H53" s="196"/>
      <c r="I53" s="196"/>
      <c r="J53" s="196"/>
      <c r="K53" s="196"/>
    </row>
    <row r="54" spans="2:11">
      <c r="B54" s="897"/>
      <c r="C54" s="219"/>
      <c r="D54" s="196"/>
      <c r="E54" s="196"/>
      <c r="F54" s="196"/>
      <c r="G54" s="196"/>
      <c r="H54" s="196"/>
      <c r="I54" s="196"/>
      <c r="J54" s="196"/>
      <c r="K54" s="196"/>
    </row>
    <row r="55" spans="2:11">
      <c r="B55" s="897"/>
      <c r="C55" s="219"/>
      <c r="D55" s="196"/>
      <c r="E55" s="196"/>
      <c r="F55" s="196"/>
      <c r="G55" s="196"/>
      <c r="H55" s="196"/>
      <c r="I55" s="196"/>
      <c r="J55" s="196"/>
      <c r="K55" s="196"/>
    </row>
    <row r="56" spans="2:11">
      <c r="B56" s="897"/>
      <c r="C56" s="219"/>
      <c r="D56" s="196"/>
      <c r="E56" s="196"/>
      <c r="F56" s="196"/>
      <c r="G56" s="196"/>
      <c r="H56" s="196"/>
      <c r="I56" s="196"/>
      <c r="J56" s="196"/>
      <c r="K56" s="196"/>
    </row>
    <row r="57" spans="2:11">
      <c r="B57" s="196"/>
      <c r="C57" s="196"/>
      <c r="D57" s="196"/>
      <c r="E57" s="196"/>
      <c r="F57" s="196"/>
      <c r="G57" s="196"/>
      <c r="H57" s="196"/>
      <c r="I57" s="196"/>
      <c r="J57" s="196"/>
      <c r="K57" s="196"/>
    </row>
    <row r="58" spans="2:11">
      <c r="B58" s="196"/>
      <c r="C58" s="196"/>
      <c r="D58" s="196"/>
      <c r="E58" s="196"/>
      <c r="F58" s="196"/>
      <c r="G58" s="196"/>
      <c r="H58" s="196"/>
      <c r="I58" s="196"/>
      <c r="J58" s="196"/>
      <c r="K58" s="196"/>
    </row>
    <row r="59" spans="2:11">
      <c r="B59" s="196"/>
      <c r="C59" s="196"/>
      <c r="D59" s="196"/>
      <c r="E59" s="196"/>
      <c r="F59" s="196"/>
      <c r="G59" s="196"/>
      <c r="H59" s="196"/>
      <c r="I59" s="196"/>
      <c r="J59" s="196"/>
      <c r="K59" s="196"/>
    </row>
    <row r="60" spans="2:11" ht="15.75" customHeight="1">
      <c r="B60" s="196"/>
      <c r="C60" s="196"/>
      <c r="D60" s="196"/>
      <c r="E60" s="196"/>
      <c r="F60" s="196"/>
      <c r="G60" s="196"/>
      <c r="H60" s="196"/>
      <c r="I60" s="196"/>
      <c r="J60" s="196"/>
      <c r="K60" s="196"/>
    </row>
    <row r="61" spans="2:11">
      <c r="B61" s="196"/>
      <c r="C61" s="196"/>
      <c r="D61" s="196"/>
      <c r="E61" s="196"/>
      <c r="F61" s="196"/>
      <c r="G61" s="196"/>
      <c r="H61" s="196"/>
      <c r="I61" s="196"/>
      <c r="J61" s="196"/>
      <c r="K61" s="196"/>
    </row>
    <row r="62" spans="2:11">
      <c r="B62" s="196"/>
      <c r="C62" s="196"/>
      <c r="D62" s="196"/>
      <c r="E62" s="196"/>
      <c r="F62" s="196"/>
      <c r="G62" s="196"/>
      <c r="H62" s="196"/>
      <c r="I62" s="196"/>
      <c r="J62" s="196"/>
      <c r="K62" s="196"/>
    </row>
    <row r="63" spans="2:11">
      <c r="B63" s="196"/>
      <c r="C63" s="196"/>
      <c r="D63" s="196"/>
      <c r="E63" s="196"/>
      <c r="F63" s="196"/>
      <c r="G63" s="196"/>
      <c r="H63" s="196"/>
      <c r="I63" s="196"/>
      <c r="J63" s="196"/>
      <c r="K63" s="196"/>
    </row>
    <row r="64" spans="2:11">
      <c r="B64" s="196"/>
      <c r="C64" s="196"/>
      <c r="D64" s="196"/>
      <c r="E64" s="196"/>
      <c r="F64" s="196"/>
      <c r="G64" s="196"/>
      <c r="H64" s="196"/>
      <c r="I64" s="196"/>
      <c r="J64" s="196"/>
      <c r="K64" s="196"/>
    </row>
    <row r="65" spans="2:11">
      <c r="B65" s="196"/>
      <c r="C65" s="196"/>
      <c r="D65" s="196"/>
      <c r="E65" s="196"/>
      <c r="F65" s="196"/>
      <c r="G65" s="196"/>
      <c r="H65" s="196"/>
      <c r="I65" s="196"/>
      <c r="J65" s="196"/>
      <c r="K65" s="196"/>
    </row>
    <row r="66" spans="2:11">
      <c r="B66" s="196"/>
      <c r="C66" s="196"/>
      <c r="D66" s="196"/>
      <c r="E66" s="196"/>
      <c r="F66" s="196"/>
      <c r="G66" s="196"/>
      <c r="H66" s="196"/>
      <c r="I66" s="196"/>
      <c r="J66" s="196"/>
      <c r="K66" s="196"/>
    </row>
  </sheetData>
  <protectedRanges>
    <protectedRange sqref="F6:O47" name="Scenarios"/>
    <protectedRange sqref="D47 D7:D45" name="Input Summary"/>
  </protectedRanges>
  <mergeCells count="6">
    <mergeCell ref="B52:B56"/>
    <mergeCell ref="D50:I50"/>
    <mergeCell ref="F5:J5"/>
    <mergeCell ref="B5:D5"/>
    <mergeCell ref="B3:D3"/>
    <mergeCell ref="F3:J3"/>
  </mergeCells>
  <conditionalFormatting sqref="D10">
    <cfRule type="expression" dxfId="10" priority="7">
      <formula>$D10="Yes"</formula>
    </cfRule>
  </conditionalFormatting>
  <conditionalFormatting sqref="D11">
    <cfRule type="expression" dxfId="9" priority="5">
      <formula>$D11="Yes"</formula>
    </cfRule>
  </conditionalFormatting>
  <conditionalFormatting sqref="B10:C10">
    <cfRule type="expression" dxfId="8" priority="4">
      <formula>$D$10="Yes"</formula>
    </cfRule>
  </conditionalFormatting>
  <conditionalFormatting sqref="B11:C11">
    <cfRule type="expression" dxfId="7" priority="3">
      <formula>$D$11="Yes"</formula>
    </cfRule>
  </conditionalFormatting>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S38"/>
  <sheetViews>
    <sheetView showGridLines="0" zoomScale="70" zoomScaleNormal="70" workbookViewId="0">
      <pane xSplit="1" ySplit="5" topLeftCell="B6" activePane="bottomRight" state="frozen"/>
      <selection pane="topRight" activeCell="B1" sqref="B1"/>
      <selection pane="bottomLeft" activeCell="A6" sqref="A6"/>
      <selection pane="bottomRight" activeCell="O65" sqref="O65"/>
    </sheetView>
  </sheetViews>
  <sheetFormatPr baseColWidth="10" defaultColWidth="8.83203125" defaultRowHeight="14"/>
  <cols>
    <col min="1" max="1" width="2.5" style="136" customWidth="1"/>
    <col min="2" max="2" width="9.6640625" style="136" customWidth="1"/>
    <col min="3" max="3" width="15" style="136" customWidth="1"/>
    <col min="4" max="4" width="14.1640625" style="136" customWidth="1"/>
    <col min="5" max="5" width="16.6640625" style="136" customWidth="1"/>
    <col min="6" max="6" width="15.33203125" style="136" customWidth="1"/>
    <col min="7" max="7" width="13" style="137" customWidth="1"/>
    <col min="8" max="8" width="15.5" style="136" customWidth="1"/>
    <col min="9" max="9" width="14.5" style="136" customWidth="1"/>
    <col min="10" max="10" width="15.5" style="136" customWidth="1"/>
    <col min="11" max="11" width="15.83203125" style="136" customWidth="1"/>
    <col min="12" max="12" width="14.5" style="136" customWidth="1"/>
    <col min="13" max="13" width="15.6640625" style="136" customWidth="1"/>
    <col min="14" max="14" width="15.1640625" style="136" customWidth="1"/>
    <col min="15" max="15" width="11.5" style="136" customWidth="1"/>
    <col min="16" max="16" width="11.1640625" style="136" customWidth="1"/>
    <col min="17" max="17" width="9.1640625" style="136"/>
    <col min="18" max="18" width="24.83203125" style="136" bestFit="1" customWidth="1"/>
    <col min="19" max="19" width="29.33203125" style="136" bestFit="1" customWidth="1"/>
    <col min="20" max="235" width="9.1640625" style="136"/>
    <col min="236" max="236" width="21.5" style="136" customWidth="1"/>
    <col min="237" max="237" width="16.5" style="136" customWidth="1"/>
    <col min="238" max="238" width="18" style="136" customWidth="1"/>
    <col min="239" max="239" width="23.6640625" style="136" customWidth="1"/>
    <col min="240" max="240" width="26" style="136" customWidth="1"/>
    <col min="241" max="241" width="21.5" style="136" customWidth="1"/>
    <col min="242" max="242" width="20.83203125" style="136" customWidth="1"/>
    <col min="243" max="243" width="0" style="136" hidden="1" customWidth="1"/>
    <col min="244" max="491" width="9.1640625" style="136"/>
    <col min="492" max="492" width="21.5" style="136" customWidth="1"/>
    <col min="493" max="493" width="16.5" style="136" customWidth="1"/>
    <col min="494" max="494" width="18" style="136" customWidth="1"/>
    <col min="495" max="495" width="23.6640625" style="136" customWidth="1"/>
    <col min="496" max="496" width="26" style="136" customWidth="1"/>
    <col min="497" max="497" width="21.5" style="136" customWidth="1"/>
    <col min="498" max="498" width="20.83203125" style="136" customWidth="1"/>
    <col min="499" max="499" width="0" style="136" hidden="1" customWidth="1"/>
    <col min="500" max="747" width="9.1640625" style="136"/>
    <col min="748" max="748" width="21.5" style="136" customWidth="1"/>
    <col min="749" max="749" width="16.5" style="136" customWidth="1"/>
    <col min="750" max="750" width="18" style="136" customWidth="1"/>
    <col min="751" max="751" width="23.6640625" style="136" customWidth="1"/>
    <col min="752" max="752" width="26" style="136" customWidth="1"/>
    <col min="753" max="753" width="21.5" style="136" customWidth="1"/>
    <col min="754" max="754" width="20.83203125" style="136" customWidth="1"/>
    <col min="755" max="755" width="0" style="136" hidden="1" customWidth="1"/>
    <col min="756" max="1003" width="9.1640625" style="136"/>
    <col min="1004" max="1004" width="21.5" style="136" customWidth="1"/>
    <col min="1005" max="1005" width="16.5" style="136" customWidth="1"/>
    <col min="1006" max="1006" width="18" style="136" customWidth="1"/>
    <col min="1007" max="1007" width="23.6640625" style="136" customWidth="1"/>
    <col min="1008" max="1008" width="26" style="136" customWidth="1"/>
    <col min="1009" max="1009" width="21.5" style="136" customWidth="1"/>
    <col min="1010" max="1010" width="20.83203125" style="136" customWidth="1"/>
    <col min="1011" max="1011" width="0" style="136" hidden="1" customWidth="1"/>
    <col min="1012" max="1259" width="9.1640625" style="136"/>
    <col min="1260" max="1260" width="21.5" style="136" customWidth="1"/>
    <col min="1261" max="1261" width="16.5" style="136" customWidth="1"/>
    <col min="1262" max="1262" width="18" style="136" customWidth="1"/>
    <col min="1263" max="1263" width="23.6640625" style="136" customWidth="1"/>
    <col min="1264" max="1264" width="26" style="136" customWidth="1"/>
    <col min="1265" max="1265" width="21.5" style="136" customWidth="1"/>
    <col min="1266" max="1266" width="20.83203125" style="136" customWidth="1"/>
    <col min="1267" max="1267" width="0" style="136" hidden="1" customWidth="1"/>
    <col min="1268" max="1515" width="9.1640625" style="136"/>
    <col min="1516" max="1516" width="21.5" style="136" customWidth="1"/>
    <col min="1517" max="1517" width="16.5" style="136" customWidth="1"/>
    <col min="1518" max="1518" width="18" style="136" customWidth="1"/>
    <col min="1519" max="1519" width="23.6640625" style="136" customWidth="1"/>
    <col min="1520" max="1520" width="26" style="136" customWidth="1"/>
    <col min="1521" max="1521" width="21.5" style="136" customWidth="1"/>
    <col min="1522" max="1522" width="20.83203125" style="136" customWidth="1"/>
    <col min="1523" max="1523" width="0" style="136" hidden="1" customWidth="1"/>
    <col min="1524" max="1771" width="9.1640625" style="136"/>
    <col min="1772" max="1772" width="21.5" style="136" customWidth="1"/>
    <col min="1773" max="1773" width="16.5" style="136" customWidth="1"/>
    <col min="1774" max="1774" width="18" style="136" customWidth="1"/>
    <col min="1775" max="1775" width="23.6640625" style="136" customWidth="1"/>
    <col min="1776" max="1776" width="26" style="136" customWidth="1"/>
    <col min="1777" max="1777" width="21.5" style="136" customWidth="1"/>
    <col min="1778" max="1778" width="20.83203125" style="136" customWidth="1"/>
    <col min="1779" max="1779" width="0" style="136" hidden="1" customWidth="1"/>
    <col min="1780" max="2027" width="9.1640625" style="136"/>
    <col min="2028" max="2028" width="21.5" style="136" customWidth="1"/>
    <col min="2029" max="2029" width="16.5" style="136" customWidth="1"/>
    <col min="2030" max="2030" width="18" style="136" customWidth="1"/>
    <col min="2031" max="2031" width="23.6640625" style="136" customWidth="1"/>
    <col min="2032" max="2032" width="26" style="136" customWidth="1"/>
    <col min="2033" max="2033" width="21.5" style="136" customWidth="1"/>
    <col min="2034" max="2034" width="20.83203125" style="136" customWidth="1"/>
    <col min="2035" max="2035" width="0" style="136" hidden="1" customWidth="1"/>
    <col min="2036" max="2283" width="9.1640625" style="136"/>
    <col min="2284" max="2284" width="21.5" style="136" customWidth="1"/>
    <col min="2285" max="2285" width="16.5" style="136" customWidth="1"/>
    <col min="2286" max="2286" width="18" style="136" customWidth="1"/>
    <col min="2287" max="2287" width="23.6640625" style="136" customWidth="1"/>
    <col min="2288" max="2288" width="26" style="136" customWidth="1"/>
    <col min="2289" max="2289" width="21.5" style="136" customWidth="1"/>
    <col min="2290" max="2290" width="20.83203125" style="136" customWidth="1"/>
    <col min="2291" max="2291" width="0" style="136" hidden="1" customWidth="1"/>
    <col min="2292" max="2539" width="9.1640625" style="136"/>
    <col min="2540" max="2540" width="21.5" style="136" customWidth="1"/>
    <col min="2541" max="2541" width="16.5" style="136" customWidth="1"/>
    <col min="2542" max="2542" width="18" style="136" customWidth="1"/>
    <col min="2543" max="2543" width="23.6640625" style="136" customWidth="1"/>
    <col min="2544" max="2544" width="26" style="136" customWidth="1"/>
    <col min="2545" max="2545" width="21.5" style="136" customWidth="1"/>
    <col min="2546" max="2546" width="20.83203125" style="136" customWidth="1"/>
    <col min="2547" max="2547" width="0" style="136" hidden="1" customWidth="1"/>
    <col min="2548" max="2795" width="9.1640625" style="136"/>
    <col min="2796" max="2796" width="21.5" style="136" customWidth="1"/>
    <col min="2797" max="2797" width="16.5" style="136" customWidth="1"/>
    <col min="2798" max="2798" width="18" style="136" customWidth="1"/>
    <col min="2799" max="2799" width="23.6640625" style="136" customWidth="1"/>
    <col min="2800" max="2800" width="26" style="136" customWidth="1"/>
    <col min="2801" max="2801" width="21.5" style="136" customWidth="1"/>
    <col min="2802" max="2802" width="20.83203125" style="136" customWidth="1"/>
    <col min="2803" max="2803" width="0" style="136" hidden="1" customWidth="1"/>
    <col min="2804" max="3051" width="9.1640625" style="136"/>
    <col min="3052" max="3052" width="21.5" style="136" customWidth="1"/>
    <col min="3053" max="3053" width="16.5" style="136" customWidth="1"/>
    <col min="3054" max="3054" width="18" style="136" customWidth="1"/>
    <col min="3055" max="3055" width="23.6640625" style="136" customWidth="1"/>
    <col min="3056" max="3056" width="26" style="136" customWidth="1"/>
    <col min="3057" max="3057" width="21.5" style="136" customWidth="1"/>
    <col min="3058" max="3058" width="20.83203125" style="136" customWidth="1"/>
    <col min="3059" max="3059" width="0" style="136" hidden="1" customWidth="1"/>
    <col min="3060" max="3307" width="9.1640625" style="136"/>
    <col min="3308" max="3308" width="21.5" style="136" customWidth="1"/>
    <col min="3309" max="3309" width="16.5" style="136" customWidth="1"/>
    <col min="3310" max="3310" width="18" style="136" customWidth="1"/>
    <col min="3311" max="3311" width="23.6640625" style="136" customWidth="1"/>
    <col min="3312" max="3312" width="26" style="136" customWidth="1"/>
    <col min="3313" max="3313" width="21.5" style="136" customWidth="1"/>
    <col min="3314" max="3314" width="20.83203125" style="136" customWidth="1"/>
    <col min="3315" max="3315" width="0" style="136" hidden="1" customWidth="1"/>
    <col min="3316" max="3563" width="9.1640625" style="136"/>
    <col min="3564" max="3564" width="21.5" style="136" customWidth="1"/>
    <col min="3565" max="3565" width="16.5" style="136" customWidth="1"/>
    <col min="3566" max="3566" width="18" style="136" customWidth="1"/>
    <col min="3567" max="3567" width="23.6640625" style="136" customWidth="1"/>
    <col min="3568" max="3568" width="26" style="136" customWidth="1"/>
    <col min="3569" max="3569" width="21.5" style="136" customWidth="1"/>
    <col min="3570" max="3570" width="20.83203125" style="136" customWidth="1"/>
    <col min="3571" max="3571" width="0" style="136" hidden="1" customWidth="1"/>
    <col min="3572" max="3819" width="9.1640625" style="136"/>
    <col min="3820" max="3820" width="21.5" style="136" customWidth="1"/>
    <col min="3821" max="3821" width="16.5" style="136" customWidth="1"/>
    <col min="3822" max="3822" width="18" style="136" customWidth="1"/>
    <col min="3823" max="3823" width="23.6640625" style="136" customWidth="1"/>
    <col min="3824" max="3824" width="26" style="136" customWidth="1"/>
    <col min="3825" max="3825" width="21.5" style="136" customWidth="1"/>
    <col min="3826" max="3826" width="20.83203125" style="136" customWidth="1"/>
    <col min="3827" max="3827" width="0" style="136" hidden="1" customWidth="1"/>
    <col min="3828" max="4075" width="9.1640625" style="136"/>
    <col min="4076" max="4076" width="21.5" style="136" customWidth="1"/>
    <col min="4077" max="4077" width="16.5" style="136" customWidth="1"/>
    <col min="4078" max="4078" width="18" style="136" customWidth="1"/>
    <col min="4079" max="4079" width="23.6640625" style="136" customWidth="1"/>
    <col min="4080" max="4080" width="26" style="136" customWidth="1"/>
    <col min="4081" max="4081" width="21.5" style="136" customWidth="1"/>
    <col min="4082" max="4082" width="20.83203125" style="136" customWidth="1"/>
    <col min="4083" max="4083" width="0" style="136" hidden="1" customWidth="1"/>
    <col min="4084" max="4331" width="9.1640625" style="136"/>
    <col min="4332" max="4332" width="21.5" style="136" customWidth="1"/>
    <col min="4333" max="4333" width="16.5" style="136" customWidth="1"/>
    <col min="4334" max="4334" width="18" style="136" customWidth="1"/>
    <col min="4335" max="4335" width="23.6640625" style="136" customWidth="1"/>
    <col min="4336" max="4336" width="26" style="136" customWidth="1"/>
    <col min="4337" max="4337" width="21.5" style="136" customWidth="1"/>
    <col min="4338" max="4338" width="20.83203125" style="136" customWidth="1"/>
    <col min="4339" max="4339" width="0" style="136" hidden="1" customWidth="1"/>
    <col min="4340" max="4587" width="9.1640625" style="136"/>
    <col min="4588" max="4588" width="21.5" style="136" customWidth="1"/>
    <col min="4589" max="4589" width="16.5" style="136" customWidth="1"/>
    <col min="4590" max="4590" width="18" style="136" customWidth="1"/>
    <col min="4591" max="4591" width="23.6640625" style="136" customWidth="1"/>
    <col min="4592" max="4592" width="26" style="136" customWidth="1"/>
    <col min="4593" max="4593" width="21.5" style="136" customWidth="1"/>
    <col min="4594" max="4594" width="20.83203125" style="136" customWidth="1"/>
    <col min="4595" max="4595" width="0" style="136" hidden="1" customWidth="1"/>
    <col min="4596" max="4843" width="9.1640625" style="136"/>
    <col min="4844" max="4844" width="21.5" style="136" customWidth="1"/>
    <col min="4845" max="4845" width="16.5" style="136" customWidth="1"/>
    <col min="4846" max="4846" width="18" style="136" customWidth="1"/>
    <col min="4847" max="4847" width="23.6640625" style="136" customWidth="1"/>
    <col min="4848" max="4848" width="26" style="136" customWidth="1"/>
    <col min="4849" max="4849" width="21.5" style="136" customWidth="1"/>
    <col min="4850" max="4850" width="20.83203125" style="136" customWidth="1"/>
    <col min="4851" max="4851" width="0" style="136" hidden="1" customWidth="1"/>
    <col min="4852" max="5099" width="9.1640625" style="136"/>
    <col min="5100" max="5100" width="21.5" style="136" customWidth="1"/>
    <col min="5101" max="5101" width="16.5" style="136" customWidth="1"/>
    <col min="5102" max="5102" width="18" style="136" customWidth="1"/>
    <col min="5103" max="5103" width="23.6640625" style="136" customWidth="1"/>
    <col min="5104" max="5104" width="26" style="136" customWidth="1"/>
    <col min="5105" max="5105" width="21.5" style="136" customWidth="1"/>
    <col min="5106" max="5106" width="20.83203125" style="136" customWidth="1"/>
    <col min="5107" max="5107" width="0" style="136" hidden="1" customWidth="1"/>
    <col min="5108" max="5355" width="9.1640625" style="136"/>
    <col min="5356" max="5356" width="21.5" style="136" customWidth="1"/>
    <col min="5357" max="5357" width="16.5" style="136" customWidth="1"/>
    <col min="5358" max="5358" width="18" style="136" customWidth="1"/>
    <col min="5359" max="5359" width="23.6640625" style="136" customWidth="1"/>
    <col min="5360" max="5360" width="26" style="136" customWidth="1"/>
    <col min="5361" max="5361" width="21.5" style="136" customWidth="1"/>
    <col min="5362" max="5362" width="20.83203125" style="136" customWidth="1"/>
    <col min="5363" max="5363" width="0" style="136" hidden="1" customWidth="1"/>
    <col min="5364" max="5611" width="9.1640625" style="136"/>
    <col min="5612" max="5612" width="21.5" style="136" customWidth="1"/>
    <col min="5613" max="5613" width="16.5" style="136" customWidth="1"/>
    <col min="5614" max="5614" width="18" style="136" customWidth="1"/>
    <col min="5615" max="5615" width="23.6640625" style="136" customWidth="1"/>
    <col min="5616" max="5616" width="26" style="136" customWidth="1"/>
    <col min="5617" max="5617" width="21.5" style="136" customWidth="1"/>
    <col min="5618" max="5618" width="20.83203125" style="136" customWidth="1"/>
    <col min="5619" max="5619" width="0" style="136" hidden="1" customWidth="1"/>
    <col min="5620" max="5867" width="9.1640625" style="136"/>
    <col min="5868" max="5868" width="21.5" style="136" customWidth="1"/>
    <col min="5869" max="5869" width="16.5" style="136" customWidth="1"/>
    <col min="5870" max="5870" width="18" style="136" customWidth="1"/>
    <col min="5871" max="5871" width="23.6640625" style="136" customWidth="1"/>
    <col min="5872" max="5872" width="26" style="136" customWidth="1"/>
    <col min="5873" max="5873" width="21.5" style="136" customWidth="1"/>
    <col min="5874" max="5874" width="20.83203125" style="136" customWidth="1"/>
    <col min="5875" max="5875" width="0" style="136" hidden="1" customWidth="1"/>
    <col min="5876" max="6123" width="9.1640625" style="136"/>
    <col min="6124" max="6124" width="21.5" style="136" customWidth="1"/>
    <col min="6125" max="6125" width="16.5" style="136" customWidth="1"/>
    <col min="6126" max="6126" width="18" style="136" customWidth="1"/>
    <col min="6127" max="6127" width="23.6640625" style="136" customWidth="1"/>
    <col min="6128" max="6128" width="26" style="136" customWidth="1"/>
    <col min="6129" max="6129" width="21.5" style="136" customWidth="1"/>
    <col min="6130" max="6130" width="20.83203125" style="136" customWidth="1"/>
    <col min="6131" max="6131" width="0" style="136" hidden="1" customWidth="1"/>
    <col min="6132" max="6379" width="9.1640625" style="136"/>
    <col min="6380" max="6380" width="21.5" style="136" customWidth="1"/>
    <col min="6381" max="6381" width="16.5" style="136" customWidth="1"/>
    <col min="6382" max="6382" width="18" style="136" customWidth="1"/>
    <col min="6383" max="6383" width="23.6640625" style="136" customWidth="1"/>
    <col min="6384" max="6384" width="26" style="136" customWidth="1"/>
    <col min="6385" max="6385" width="21.5" style="136" customWidth="1"/>
    <col min="6386" max="6386" width="20.83203125" style="136" customWidth="1"/>
    <col min="6387" max="6387" width="0" style="136" hidden="1" customWidth="1"/>
    <col min="6388" max="6635" width="9.1640625" style="136"/>
    <col min="6636" max="6636" width="21.5" style="136" customWidth="1"/>
    <col min="6637" max="6637" width="16.5" style="136" customWidth="1"/>
    <col min="6638" max="6638" width="18" style="136" customWidth="1"/>
    <col min="6639" max="6639" width="23.6640625" style="136" customWidth="1"/>
    <col min="6640" max="6640" width="26" style="136" customWidth="1"/>
    <col min="6641" max="6641" width="21.5" style="136" customWidth="1"/>
    <col min="6642" max="6642" width="20.83203125" style="136" customWidth="1"/>
    <col min="6643" max="6643" width="0" style="136" hidden="1" customWidth="1"/>
    <col min="6644" max="6891" width="9.1640625" style="136"/>
    <col min="6892" max="6892" width="21.5" style="136" customWidth="1"/>
    <col min="6893" max="6893" width="16.5" style="136" customWidth="1"/>
    <col min="6894" max="6894" width="18" style="136" customWidth="1"/>
    <col min="6895" max="6895" width="23.6640625" style="136" customWidth="1"/>
    <col min="6896" max="6896" width="26" style="136" customWidth="1"/>
    <col min="6897" max="6897" width="21.5" style="136" customWidth="1"/>
    <col min="6898" max="6898" width="20.83203125" style="136" customWidth="1"/>
    <col min="6899" max="6899" width="0" style="136" hidden="1" customWidth="1"/>
    <col min="6900" max="7147" width="9.1640625" style="136"/>
    <col min="7148" max="7148" width="21.5" style="136" customWidth="1"/>
    <col min="7149" max="7149" width="16.5" style="136" customWidth="1"/>
    <col min="7150" max="7150" width="18" style="136" customWidth="1"/>
    <col min="7151" max="7151" width="23.6640625" style="136" customWidth="1"/>
    <col min="7152" max="7152" width="26" style="136" customWidth="1"/>
    <col min="7153" max="7153" width="21.5" style="136" customWidth="1"/>
    <col min="7154" max="7154" width="20.83203125" style="136" customWidth="1"/>
    <col min="7155" max="7155" width="0" style="136" hidden="1" customWidth="1"/>
    <col min="7156" max="7403" width="9.1640625" style="136"/>
    <col min="7404" max="7404" width="21.5" style="136" customWidth="1"/>
    <col min="7405" max="7405" width="16.5" style="136" customWidth="1"/>
    <col min="7406" max="7406" width="18" style="136" customWidth="1"/>
    <col min="7407" max="7407" width="23.6640625" style="136" customWidth="1"/>
    <col min="7408" max="7408" width="26" style="136" customWidth="1"/>
    <col min="7409" max="7409" width="21.5" style="136" customWidth="1"/>
    <col min="7410" max="7410" width="20.83203125" style="136" customWidth="1"/>
    <col min="7411" max="7411" width="0" style="136" hidden="1" customWidth="1"/>
    <col min="7412" max="7659" width="9.1640625" style="136"/>
    <col min="7660" max="7660" width="21.5" style="136" customWidth="1"/>
    <col min="7661" max="7661" width="16.5" style="136" customWidth="1"/>
    <col min="7662" max="7662" width="18" style="136" customWidth="1"/>
    <col min="7663" max="7663" width="23.6640625" style="136" customWidth="1"/>
    <col min="7664" max="7664" width="26" style="136" customWidth="1"/>
    <col min="7665" max="7665" width="21.5" style="136" customWidth="1"/>
    <col min="7666" max="7666" width="20.83203125" style="136" customWidth="1"/>
    <col min="7667" max="7667" width="0" style="136" hidden="1" customWidth="1"/>
    <col min="7668" max="7915" width="9.1640625" style="136"/>
    <col min="7916" max="7916" width="21.5" style="136" customWidth="1"/>
    <col min="7917" max="7917" width="16.5" style="136" customWidth="1"/>
    <col min="7918" max="7918" width="18" style="136" customWidth="1"/>
    <col min="7919" max="7919" width="23.6640625" style="136" customWidth="1"/>
    <col min="7920" max="7920" width="26" style="136" customWidth="1"/>
    <col min="7921" max="7921" width="21.5" style="136" customWidth="1"/>
    <col min="7922" max="7922" width="20.83203125" style="136" customWidth="1"/>
    <col min="7923" max="7923" width="0" style="136" hidden="1" customWidth="1"/>
    <col min="7924" max="8171" width="9.1640625" style="136"/>
    <col min="8172" max="8172" width="21.5" style="136" customWidth="1"/>
    <col min="8173" max="8173" width="16.5" style="136" customWidth="1"/>
    <col min="8174" max="8174" width="18" style="136" customWidth="1"/>
    <col min="8175" max="8175" width="23.6640625" style="136" customWidth="1"/>
    <col min="8176" max="8176" width="26" style="136" customWidth="1"/>
    <col min="8177" max="8177" width="21.5" style="136" customWidth="1"/>
    <col min="8178" max="8178" width="20.83203125" style="136" customWidth="1"/>
    <col min="8179" max="8179" width="0" style="136" hidden="1" customWidth="1"/>
    <col min="8180" max="8427" width="9.1640625" style="136"/>
    <col min="8428" max="8428" width="21.5" style="136" customWidth="1"/>
    <col min="8429" max="8429" width="16.5" style="136" customWidth="1"/>
    <col min="8430" max="8430" width="18" style="136" customWidth="1"/>
    <col min="8431" max="8431" width="23.6640625" style="136" customWidth="1"/>
    <col min="8432" max="8432" width="26" style="136" customWidth="1"/>
    <col min="8433" max="8433" width="21.5" style="136" customWidth="1"/>
    <col min="8434" max="8434" width="20.83203125" style="136" customWidth="1"/>
    <col min="8435" max="8435" width="0" style="136" hidden="1" customWidth="1"/>
    <col min="8436" max="8683" width="9.1640625" style="136"/>
    <col min="8684" max="8684" width="21.5" style="136" customWidth="1"/>
    <col min="8685" max="8685" width="16.5" style="136" customWidth="1"/>
    <col min="8686" max="8686" width="18" style="136" customWidth="1"/>
    <col min="8687" max="8687" width="23.6640625" style="136" customWidth="1"/>
    <col min="8688" max="8688" width="26" style="136" customWidth="1"/>
    <col min="8689" max="8689" width="21.5" style="136" customWidth="1"/>
    <col min="8690" max="8690" width="20.83203125" style="136" customWidth="1"/>
    <col min="8691" max="8691" width="0" style="136" hidden="1" customWidth="1"/>
    <col min="8692" max="8939" width="9.1640625" style="136"/>
    <col min="8940" max="8940" width="21.5" style="136" customWidth="1"/>
    <col min="8941" max="8941" width="16.5" style="136" customWidth="1"/>
    <col min="8942" max="8942" width="18" style="136" customWidth="1"/>
    <col min="8943" max="8943" width="23.6640625" style="136" customWidth="1"/>
    <col min="8944" max="8944" width="26" style="136" customWidth="1"/>
    <col min="8945" max="8945" width="21.5" style="136" customWidth="1"/>
    <col min="8946" max="8946" width="20.83203125" style="136" customWidth="1"/>
    <col min="8947" max="8947" width="0" style="136" hidden="1" customWidth="1"/>
    <col min="8948" max="9195" width="9.1640625" style="136"/>
    <col min="9196" max="9196" width="21.5" style="136" customWidth="1"/>
    <col min="9197" max="9197" width="16.5" style="136" customWidth="1"/>
    <col min="9198" max="9198" width="18" style="136" customWidth="1"/>
    <col min="9199" max="9199" width="23.6640625" style="136" customWidth="1"/>
    <col min="9200" max="9200" width="26" style="136" customWidth="1"/>
    <col min="9201" max="9201" width="21.5" style="136" customWidth="1"/>
    <col min="9202" max="9202" width="20.83203125" style="136" customWidth="1"/>
    <col min="9203" max="9203" width="0" style="136" hidden="1" customWidth="1"/>
    <col min="9204" max="9451" width="9.1640625" style="136"/>
    <col min="9452" max="9452" width="21.5" style="136" customWidth="1"/>
    <col min="9453" max="9453" width="16.5" style="136" customWidth="1"/>
    <col min="9454" max="9454" width="18" style="136" customWidth="1"/>
    <col min="9455" max="9455" width="23.6640625" style="136" customWidth="1"/>
    <col min="9456" max="9456" width="26" style="136" customWidth="1"/>
    <col min="9457" max="9457" width="21.5" style="136" customWidth="1"/>
    <col min="9458" max="9458" width="20.83203125" style="136" customWidth="1"/>
    <col min="9459" max="9459" width="0" style="136" hidden="1" customWidth="1"/>
    <col min="9460" max="9707" width="9.1640625" style="136"/>
    <col min="9708" max="9708" width="21.5" style="136" customWidth="1"/>
    <col min="9709" max="9709" width="16.5" style="136" customWidth="1"/>
    <col min="9710" max="9710" width="18" style="136" customWidth="1"/>
    <col min="9711" max="9711" width="23.6640625" style="136" customWidth="1"/>
    <col min="9712" max="9712" width="26" style="136" customWidth="1"/>
    <col min="9713" max="9713" width="21.5" style="136" customWidth="1"/>
    <col min="9714" max="9714" width="20.83203125" style="136" customWidth="1"/>
    <col min="9715" max="9715" width="0" style="136" hidden="1" customWidth="1"/>
    <col min="9716" max="9963" width="9.1640625" style="136"/>
    <col min="9964" max="9964" width="21.5" style="136" customWidth="1"/>
    <col min="9965" max="9965" width="16.5" style="136" customWidth="1"/>
    <col min="9966" max="9966" width="18" style="136" customWidth="1"/>
    <col min="9967" max="9967" width="23.6640625" style="136" customWidth="1"/>
    <col min="9968" max="9968" width="26" style="136" customWidth="1"/>
    <col min="9969" max="9969" width="21.5" style="136" customWidth="1"/>
    <col min="9970" max="9970" width="20.83203125" style="136" customWidth="1"/>
    <col min="9971" max="9971" width="0" style="136" hidden="1" customWidth="1"/>
    <col min="9972" max="10219" width="9.1640625" style="136"/>
    <col min="10220" max="10220" width="21.5" style="136" customWidth="1"/>
    <col min="10221" max="10221" width="16.5" style="136" customWidth="1"/>
    <col min="10222" max="10222" width="18" style="136" customWidth="1"/>
    <col min="10223" max="10223" width="23.6640625" style="136" customWidth="1"/>
    <col min="10224" max="10224" width="26" style="136" customWidth="1"/>
    <col min="10225" max="10225" width="21.5" style="136" customWidth="1"/>
    <col min="10226" max="10226" width="20.83203125" style="136" customWidth="1"/>
    <col min="10227" max="10227" width="0" style="136" hidden="1" customWidth="1"/>
    <col min="10228" max="10475" width="9.1640625" style="136"/>
    <col min="10476" max="10476" width="21.5" style="136" customWidth="1"/>
    <col min="10477" max="10477" width="16.5" style="136" customWidth="1"/>
    <col min="10478" max="10478" width="18" style="136" customWidth="1"/>
    <col min="10479" max="10479" width="23.6640625" style="136" customWidth="1"/>
    <col min="10480" max="10480" width="26" style="136" customWidth="1"/>
    <col min="10481" max="10481" width="21.5" style="136" customWidth="1"/>
    <col min="10482" max="10482" width="20.83203125" style="136" customWidth="1"/>
    <col min="10483" max="10483" width="0" style="136" hidden="1" customWidth="1"/>
    <col min="10484" max="10731" width="9.1640625" style="136"/>
    <col min="10732" max="10732" width="21.5" style="136" customWidth="1"/>
    <col min="10733" max="10733" width="16.5" style="136" customWidth="1"/>
    <col min="10734" max="10734" width="18" style="136" customWidth="1"/>
    <col min="10735" max="10735" width="23.6640625" style="136" customWidth="1"/>
    <col min="10736" max="10736" width="26" style="136" customWidth="1"/>
    <col min="10737" max="10737" width="21.5" style="136" customWidth="1"/>
    <col min="10738" max="10738" width="20.83203125" style="136" customWidth="1"/>
    <col min="10739" max="10739" width="0" style="136" hidden="1" customWidth="1"/>
    <col min="10740" max="10987" width="9.1640625" style="136"/>
    <col min="10988" max="10988" width="21.5" style="136" customWidth="1"/>
    <col min="10989" max="10989" width="16.5" style="136" customWidth="1"/>
    <col min="10990" max="10990" width="18" style="136" customWidth="1"/>
    <col min="10991" max="10991" width="23.6640625" style="136" customWidth="1"/>
    <col min="10992" max="10992" width="26" style="136" customWidth="1"/>
    <col min="10993" max="10993" width="21.5" style="136" customWidth="1"/>
    <col min="10994" max="10994" width="20.83203125" style="136" customWidth="1"/>
    <col min="10995" max="10995" width="0" style="136" hidden="1" customWidth="1"/>
    <col min="10996" max="11243" width="9.1640625" style="136"/>
    <col min="11244" max="11244" width="21.5" style="136" customWidth="1"/>
    <col min="11245" max="11245" width="16.5" style="136" customWidth="1"/>
    <col min="11246" max="11246" width="18" style="136" customWidth="1"/>
    <col min="11247" max="11247" width="23.6640625" style="136" customWidth="1"/>
    <col min="11248" max="11248" width="26" style="136" customWidth="1"/>
    <col min="11249" max="11249" width="21.5" style="136" customWidth="1"/>
    <col min="11250" max="11250" width="20.83203125" style="136" customWidth="1"/>
    <col min="11251" max="11251" width="0" style="136" hidden="1" customWidth="1"/>
    <col min="11252" max="11499" width="9.1640625" style="136"/>
    <col min="11500" max="11500" width="21.5" style="136" customWidth="1"/>
    <col min="11501" max="11501" width="16.5" style="136" customWidth="1"/>
    <col min="11502" max="11502" width="18" style="136" customWidth="1"/>
    <col min="11503" max="11503" width="23.6640625" style="136" customWidth="1"/>
    <col min="11504" max="11504" width="26" style="136" customWidth="1"/>
    <col min="11505" max="11505" width="21.5" style="136" customWidth="1"/>
    <col min="11506" max="11506" width="20.83203125" style="136" customWidth="1"/>
    <col min="11507" max="11507" width="0" style="136" hidden="1" customWidth="1"/>
    <col min="11508" max="11755" width="9.1640625" style="136"/>
    <col min="11756" max="11756" width="21.5" style="136" customWidth="1"/>
    <col min="11757" max="11757" width="16.5" style="136" customWidth="1"/>
    <col min="11758" max="11758" width="18" style="136" customWidth="1"/>
    <col min="11759" max="11759" width="23.6640625" style="136" customWidth="1"/>
    <col min="11760" max="11760" width="26" style="136" customWidth="1"/>
    <col min="11761" max="11761" width="21.5" style="136" customWidth="1"/>
    <col min="11762" max="11762" width="20.83203125" style="136" customWidth="1"/>
    <col min="11763" max="11763" width="0" style="136" hidden="1" customWidth="1"/>
    <col min="11764" max="12011" width="9.1640625" style="136"/>
    <col min="12012" max="12012" width="21.5" style="136" customWidth="1"/>
    <col min="12013" max="12013" width="16.5" style="136" customWidth="1"/>
    <col min="12014" max="12014" width="18" style="136" customWidth="1"/>
    <col min="12015" max="12015" width="23.6640625" style="136" customWidth="1"/>
    <col min="12016" max="12016" width="26" style="136" customWidth="1"/>
    <col min="12017" max="12017" width="21.5" style="136" customWidth="1"/>
    <col min="12018" max="12018" width="20.83203125" style="136" customWidth="1"/>
    <col min="12019" max="12019" width="0" style="136" hidden="1" customWidth="1"/>
    <col min="12020" max="12267" width="9.1640625" style="136"/>
    <col min="12268" max="12268" width="21.5" style="136" customWidth="1"/>
    <col min="12269" max="12269" width="16.5" style="136" customWidth="1"/>
    <col min="12270" max="12270" width="18" style="136" customWidth="1"/>
    <col min="12271" max="12271" width="23.6640625" style="136" customWidth="1"/>
    <col min="12272" max="12272" width="26" style="136" customWidth="1"/>
    <col min="12273" max="12273" width="21.5" style="136" customWidth="1"/>
    <col min="12274" max="12274" width="20.83203125" style="136" customWidth="1"/>
    <col min="12275" max="12275" width="0" style="136" hidden="1" customWidth="1"/>
    <col min="12276" max="12523" width="9.1640625" style="136"/>
    <col min="12524" max="12524" width="21.5" style="136" customWidth="1"/>
    <col min="12525" max="12525" width="16.5" style="136" customWidth="1"/>
    <col min="12526" max="12526" width="18" style="136" customWidth="1"/>
    <col min="12527" max="12527" width="23.6640625" style="136" customWidth="1"/>
    <col min="12528" max="12528" width="26" style="136" customWidth="1"/>
    <col min="12529" max="12529" width="21.5" style="136" customWidth="1"/>
    <col min="12530" max="12530" width="20.83203125" style="136" customWidth="1"/>
    <col min="12531" max="12531" width="0" style="136" hidden="1" customWidth="1"/>
    <col min="12532" max="12779" width="9.1640625" style="136"/>
    <col min="12780" max="12780" width="21.5" style="136" customWidth="1"/>
    <col min="12781" max="12781" width="16.5" style="136" customWidth="1"/>
    <col min="12782" max="12782" width="18" style="136" customWidth="1"/>
    <col min="12783" max="12783" width="23.6640625" style="136" customWidth="1"/>
    <col min="12784" max="12784" width="26" style="136" customWidth="1"/>
    <col min="12785" max="12785" width="21.5" style="136" customWidth="1"/>
    <col min="12786" max="12786" width="20.83203125" style="136" customWidth="1"/>
    <col min="12787" max="12787" width="0" style="136" hidden="1" customWidth="1"/>
    <col min="12788" max="13035" width="9.1640625" style="136"/>
    <col min="13036" max="13036" width="21.5" style="136" customWidth="1"/>
    <col min="13037" max="13037" width="16.5" style="136" customWidth="1"/>
    <col min="13038" max="13038" width="18" style="136" customWidth="1"/>
    <col min="13039" max="13039" width="23.6640625" style="136" customWidth="1"/>
    <col min="13040" max="13040" width="26" style="136" customWidth="1"/>
    <col min="13041" max="13041" width="21.5" style="136" customWidth="1"/>
    <col min="13042" max="13042" width="20.83203125" style="136" customWidth="1"/>
    <col min="13043" max="13043" width="0" style="136" hidden="1" customWidth="1"/>
    <col min="13044" max="13291" width="9.1640625" style="136"/>
    <col min="13292" max="13292" width="21.5" style="136" customWidth="1"/>
    <col min="13293" max="13293" width="16.5" style="136" customWidth="1"/>
    <col min="13294" max="13294" width="18" style="136" customWidth="1"/>
    <col min="13295" max="13295" width="23.6640625" style="136" customWidth="1"/>
    <col min="13296" max="13296" width="26" style="136" customWidth="1"/>
    <col min="13297" max="13297" width="21.5" style="136" customWidth="1"/>
    <col min="13298" max="13298" width="20.83203125" style="136" customWidth="1"/>
    <col min="13299" max="13299" width="0" style="136" hidden="1" customWidth="1"/>
    <col min="13300" max="13547" width="9.1640625" style="136"/>
    <col min="13548" max="13548" width="21.5" style="136" customWidth="1"/>
    <col min="13549" max="13549" width="16.5" style="136" customWidth="1"/>
    <col min="13550" max="13550" width="18" style="136" customWidth="1"/>
    <col min="13551" max="13551" width="23.6640625" style="136" customWidth="1"/>
    <col min="13552" max="13552" width="26" style="136" customWidth="1"/>
    <col min="13553" max="13553" width="21.5" style="136" customWidth="1"/>
    <col min="13554" max="13554" width="20.83203125" style="136" customWidth="1"/>
    <col min="13555" max="13555" width="0" style="136" hidden="1" customWidth="1"/>
    <col min="13556" max="13803" width="9.1640625" style="136"/>
    <col min="13804" max="13804" width="21.5" style="136" customWidth="1"/>
    <col min="13805" max="13805" width="16.5" style="136" customWidth="1"/>
    <col min="13806" max="13806" width="18" style="136" customWidth="1"/>
    <col min="13807" max="13807" width="23.6640625" style="136" customWidth="1"/>
    <col min="13808" max="13808" width="26" style="136" customWidth="1"/>
    <col min="13809" max="13809" width="21.5" style="136" customWidth="1"/>
    <col min="13810" max="13810" width="20.83203125" style="136" customWidth="1"/>
    <col min="13811" max="13811" width="0" style="136" hidden="1" customWidth="1"/>
    <col min="13812" max="14059" width="9.1640625" style="136"/>
    <col min="14060" max="14060" width="21.5" style="136" customWidth="1"/>
    <col min="14061" max="14061" width="16.5" style="136" customWidth="1"/>
    <col min="14062" max="14062" width="18" style="136" customWidth="1"/>
    <col min="14063" max="14063" width="23.6640625" style="136" customWidth="1"/>
    <col min="14064" max="14064" width="26" style="136" customWidth="1"/>
    <col min="14065" max="14065" width="21.5" style="136" customWidth="1"/>
    <col min="14066" max="14066" width="20.83203125" style="136" customWidth="1"/>
    <col min="14067" max="14067" width="0" style="136" hidden="1" customWidth="1"/>
    <col min="14068" max="14315" width="9.1640625" style="136"/>
    <col min="14316" max="14316" width="21.5" style="136" customWidth="1"/>
    <col min="14317" max="14317" width="16.5" style="136" customWidth="1"/>
    <col min="14318" max="14318" width="18" style="136" customWidth="1"/>
    <col min="14319" max="14319" width="23.6640625" style="136" customWidth="1"/>
    <col min="14320" max="14320" width="26" style="136" customWidth="1"/>
    <col min="14321" max="14321" width="21.5" style="136" customWidth="1"/>
    <col min="14322" max="14322" width="20.83203125" style="136" customWidth="1"/>
    <col min="14323" max="14323" width="0" style="136" hidden="1" customWidth="1"/>
    <col min="14324" max="14571" width="9.1640625" style="136"/>
    <col min="14572" max="14572" width="21.5" style="136" customWidth="1"/>
    <col min="14573" max="14573" width="16.5" style="136" customWidth="1"/>
    <col min="14574" max="14574" width="18" style="136" customWidth="1"/>
    <col min="14575" max="14575" width="23.6640625" style="136" customWidth="1"/>
    <col min="14576" max="14576" width="26" style="136" customWidth="1"/>
    <col min="14577" max="14577" width="21.5" style="136" customWidth="1"/>
    <col min="14578" max="14578" width="20.83203125" style="136" customWidth="1"/>
    <col min="14579" max="14579" width="0" style="136" hidden="1" customWidth="1"/>
    <col min="14580" max="14827" width="9.1640625" style="136"/>
    <col min="14828" max="14828" width="21.5" style="136" customWidth="1"/>
    <col min="14829" max="14829" width="16.5" style="136" customWidth="1"/>
    <col min="14830" max="14830" width="18" style="136" customWidth="1"/>
    <col min="14831" max="14831" width="23.6640625" style="136" customWidth="1"/>
    <col min="14832" max="14832" width="26" style="136" customWidth="1"/>
    <col min="14833" max="14833" width="21.5" style="136" customWidth="1"/>
    <col min="14834" max="14834" width="20.83203125" style="136" customWidth="1"/>
    <col min="14835" max="14835" width="0" style="136" hidden="1" customWidth="1"/>
    <col min="14836" max="15083" width="9.1640625" style="136"/>
    <col min="15084" max="15084" width="21.5" style="136" customWidth="1"/>
    <col min="15085" max="15085" width="16.5" style="136" customWidth="1"/>
    <col min="15086" max="15086" width="18" style="136" customWidth="1"/>
    <col min="15087" max="15087" width="23.6640625" style="136" customWidth="1"/>
    <col min="15088" max="15088" width="26" style="136" customWidth="1"/>
    <col min="15089" max="15089" width="21.5" style="136" customWidth="1"/>
    <col min="15090" max="15090" width="20.83203125" style="136" customWidth="1"/>
    <col min="15091" max="15091" width="0" style="136" hidden="1" customWidth="1"/>
    <col min="15092" max="15339" width="9.1640625" style="136"/>
    <col min="15340" max="15340" width="21.5" style="136" customWidth="1"/>
    <col min="15341" max="15341" width="16.5" style="136" customWidth="1"/>
    <col min="15342" max="15342" width="18" style="136" customWidth="1"/>
    <col min="15343" max="15343" width="23.6640625" style="136" customWidth="1"/>
    <col min="15344" max="15344" width="26" style="136" customWidth="1"/>
    <col min="15345" max="15345" width="21.5" style="136" customWidth="1"/>
    <col min="15346" max="15346" width="20.83203125" style="136" customWidth="1"/>
    <col min="15347" max="15347" width="0" style="136" hidden="1" customWidth="1"/>
    <col min="15348" max="15595" width="9.1640625" style="136"/>
    <col min="15596" max="15596" width="21.5" style="136" customWidth="1"/>
    <col min="15597" max="15597" width="16.5" style="136" customWidth="1"/>
    <col min="15598" max="15598" width="18" style="136" customWidth="1"/>
    <col min="15599" max="15599" width="23.6640625" style="136" customWidth="1"/>
    <col min="15600" max="15600" width="26" style="136" customWidth="1"/>
    <col min="15601" max="15601" width="21.5" style="136" customWidth="1"/>
    <col min="15602" max="15602" width="20.83203125" style="136" customWidth="1"/>
    <col min="15603" max="15603" width="0" style="136" hidden="1" customWidth="1"/>
    <col min="15604" max="15851" width="9.1640625" style="136"/>
    <col min="15852" max="15852" width="21.5" style="136" customWidth="1"/>
    <col min="15853" max="15853" width="16.5" style="136" customWidth="1"/>
    <col min="15854" max="15854" width="18" style="136" customWidth="1"/>
    <col min="15855" max="15855" width="23.6640625" style="136" customWidth="1"/>
    <col min="15856" max="15856" width="26" style="136" customWidth="1"/>
    <col min="15857" max="15857" width="21.5" style="136" customWidth="1"/>
    <col min="15858" max="15858" width="20.83203125" style="136" customWidth="1"/>
    <col min="15859" max="15859" width="0" style="136" hidden="1" customWidth="1"/>
    <col min="15860" max="16107" width="9.1640625" style="136"/>
    <col min="16108" max="16108" width="21.5" style="136" customWidth="1"/>
    <col min="16109" max="16109" width="16.5" style="136" customWidth="1"/>
    <col min="16110" max="16110" width="18" style="136" customWidth="1"/>
    <col min="16111" max="16111" width="23.6640625" style="136" customWidth="1"/>
    <col min="16112" max="16112" width="26" style="136" customWidth="1"/>
    <col min="16113" max="16113" width="21.5" style="136" customWidth="1"/>
    <col min="16114" max="16114" width="20.83203125" style="136" customWidth="1"/>
    <col min="16115" max="16115" width="0" style="136" hidden="1" customWidth="1"/>
    <col min="16116" max="16384" width="9.1640625" style="136"/>
  </cols>
  <sheetData>
    <row r="1" spans="2:19" ht="9" customHeight="1" thickBot="1"/>
    <row r="2" spans="2:19" s="138" customFormat="1" ht="30" customHeight="1" thickBot="1">
      <c r="B2" s="160" t="s">
        <v>49</v>
      </c>
      <c r="C2" s="161"/>
      <c r="D2" s="161"/>
      <c r="E2" s="161"/>
      <c r="F2" s="161"/>
      <c r="G2" s="162"/>
      <c r="H2" s="161"/>
      <c r="I2" s="161"/>
      <c r="J2" s="161"/>
      <c r="K2" s="161"/>
      <c r="L2" s="161"/>
      <c r="M2" s="163"/>
      <c r="N2" s="162"/>
      <c r="O2" s="162"/>
      <c r="P2" s="164"/>
    </row>
    <row r="3" spans="2:19">
      <c r="G3" s="165"/>
      <c r="M3" s="166"/>
      <c r="N3" s="167"/>
      <c r="O3" s="167"/>
      <c r="P3" s="167"/>
      <c r="R3" s="909" t="s">
        <v>235</v>
      </c>
      <c r="S3" s="910"/>
    </row>
    <row r="4" spans="2:19" ht="30" customHeight="1">
      <c r="B4" s="139" t="s">
        <v>197</v>
      </c>
      <c r="C4" s="140" t="s">
        <v>196</v>
      </c>
      <c r="D4" s="140" t="s">
        <v>50</v>
      </c>
      <c r="E4" s="140" t="s">
        <v>11</v>
      </c>
      <c r="F4" s="140" t="s">
        <v>54</v>
      </c>
      <c r="G4" s="140" t="s">
        <v>141</v>
      </c>
      <c r="H4" s="140" t="s">
        <v>232</v>
      </c>
      <c r="I4" s="140" t="s">
        <v>259</v>
      </c>
      <c r="J4" s="140" t="s">
        <v>260</v>
      </c>
      <c r="K4" s="140" t="s">
        <v>261</v>
      </c>
      <c r="L4" s="140" t="s">
        <v>262</v>
      </c>
      <c r="M4" s="140" t="s">
        <v>140</v>
      </c>
      <c r="N4" s="140" t="s">
        <v>52</v>
      </c>
      <c r="O4" s="140" t="s">
        <v>53</v>
      </c>
      <c r="P4" s="141" t="s">
        <v>54</v>
      </c>
      <c r="R4" s="905" t="s">
        <v>233</v>
      </c>
      <c r="S4" s="907" t="s">
        <v>234</v>
      </c>
    </row>
    <row r="5" spans="2:19" ht="15.75" customHeight="1">
      <c r="B5" s="142" t="s">
        <v>51</v>
      </c>
      <c r="C5" s="143" t="s">
        <v>48</v>
      </c>
      <c r="D5" s="143" t="s">
        <v>0</v>
      </c>
      <c r="E5" s="143" t="s">
        <v>0</v>
      </c>
      <c r="F5" s="143" t="s">
        <v>0</v>
      </c>
      <c r="G5" s="144" t="s">
        <v>0</v>
      </c>
      <c r="H5" s="144" t="s">
        <v>0</v>
      </c>
      <c r="I5" s="144" t="s">
        <v>0</v>
      </c>
      <c r="J5" s="144" t="s">
        <v>0</v>
      </c>
      <c r="K5" s="143" t="s">
        <v>0</v>
      </c>
      <c r="L5" s="143" t="s">
        <v>0</v>
      </c>
      <c r="M5" s="144" t="s">
        <v>0</v>
      </c>
      <c r="N5" s="144" t="s">
        <v>0</v>
      </c>
      <c r="O5" s="143" t="s">
        <v>1</v>
      </c>
      <c r="P5" s="145" t="s">
        <v>55</v>
      </c>
      <c r="R5" s="906"/>
      <c r="S5" s="908"/>
    </row>
    <row r="6" spans="2:19" ht="15.75" customHeight="1">
      <c r="B6" s="146">
        <v>0</v>
      </c>
      <c r="C6" s="147"/>
      <c r="D6" s="148"/>
      <c r="E6" s="148"/>
      <c r="F6" s="148"/>
      <c r="G6" s="149"/>
      <c r="H6" s="148"/>
      <c r="I6" s="148"/>
      <c r="J6" s="148"/>
      <c r="K6" s="148"/>
      <c r="L6" s="196"/>
      <c r="M6" s="149">
        <f>'Cash Flow'!F70</f>
        <v>-79810656.836137891</v>
      </c>
      <c r="N6" s="149">
        <f>M6</f>
        <v>-79810656.836137891</v>
      </c>
      <c r="O6" s="168"/>
      <c r="P6" s="169"/>
      <c r="R6" s="325"/>
      <c r="S6" s="326"/>
    </row>
    <row r="7" spans="2:19" s="156" customFormat="1">
      <c r="B7" s="151">
        <v>1</v>
      </c>
      <c r="C7" s="152">
        <f>IF($B7&gt;Inputs!$G$17,"",IF($B7&lt;=Inputs!$Q$6,LOOKUP($B7,'Cash Flow'!$F$2:$AJ$2,'Cash Flow'!$F$14:$AJ$14),LOOKUP($B7,'Cash Flow'!$F$2:$AJ$2,'Cash Flow'!$F$16:$AJ$16)))</f>
        <v>18.550000000000008</v>
      </c>
      <c r="D7" s="149">
        <f>IF($B7&gt;Inputs!$G$17,"",LOOKUP($B7,'Cash Flow'!$F$2:$AJ$2,'Cash Flow'!$F$23:$AJ$23))</f>
        <v>20938190.247324467</v>
      </c>
      <c r="E7" s="149">
        <f>IF($B7&gt;Inputs!$G$17,"",LOOKUP($B7,'Cash Flow'!$F$2:$AJ$2,'Cash Flow'!$F$38:$AJ$38))</f>
        <v>-4701870.0288125006</v>
      </c>
      <c r="F7" s="149">
        <f>IF($B7&gt;Inputs!$G$17,"",LOOKUP($B7,'Cash Flow'!$F$2:$AJ$2,'Cash Flow'!$F$88:$AJ$88))</f>
        <v>-7085170.2915028986</v>
      </c>
      <c r="G7" s="149">
        <f>IF($B7&gt;Inputs!$G$17,"",LOOKUP($B7,'Cash Flow'!$F$2:$AJ$2,'Cash Flow'!$F$50:$AJ$50)+LOOKUP($B7,'Cash Flow'!$F$2:$AJ$2,'Cash Flow'!$F$51:$AJ$51))</f>
        <v>0</v>
      </c>
      <c r="H7" s="149">
        <f>IF($B7&gt;Inputs!$G$17,"",SUM(D7:G7))</f>
        <v>9151149.9270090666</v>
      </c>
      <c r="I7" s="149">
        <f>IF($B7&gt;Inputs!$G$17,"",LOOKUP($B7,'Cash Flow'!$F$2:$AJ$2,'Cash Flow'!$F$63:$AJ$63))</f>
        <v>-21566319.336704142</v>
      </c>
      <c r="J7" s="149">
        <f>IF($B7&gt;Inputs!$G$17,"",LOOKUP($B7,'Cash Flow'!$F$2:$AJ$2,'Cash Flow'!$F$64:$AJ$64))</f>
        <v>-21566319.336704142</v>
      </c>
      <c r="K7" s="149">
        <f>IF($B7&gt;Inputs!$G$17,"",LOOKUP($B7,'Cash Flow'!$F$2:$AJ$2,'Cash Flow'!$F$66:$AJ$66)+LOOKUP($B7,'Cash Flow'!$F$2:$AJ$2,'Cash Flow'!$F$68:$AJ$68))</f>
        <v>35202885.274798252</v>
      </c>
      <c r="L7" s="149">
        <f>IF($B7&gt;Inputs!$G$17,"",LOOKUP($B7,'Cash Flow'!$F$2:$AJ$2,'Cash Flow'!$F$67:$AJ$67)+LOOKUP($B7,'Cash Flow'!$F$2:$AJ$2,'Cash Flow'!$F$69:$AJ$69))</f>
        <v>1833137.1436198521</v>
      </c>
      <c r="M7" s="149">
        <f>IF($B7&gt;Inputs!$G$17,"",H7+K7+L7)</f>
        <v>46187172.34542717</v>
      </c>
      <c r="N7" s="149">
        <f>IF($B7&gt;Inputs!$G$17,N6,N6+M7)</f>
        <v>-33623484.49071072</v>
      </c>
      <c r="O7" s="153">
        <f>IF($B7&gt;Inputs!$G$17,"",LOOKUP($B7,'Cash Flow'!$F$2:$AJ$2,'Cash Flow'!$F$71:$AJ$71))</f>
        <v>-0.42129066247060587</v>
      </c>
      <c r="P7" s="154">
        <f>IF($B7&gt;Inputs!$G$17,"",LOOKUP($B7,'Cash Flow'!$F$2:$AJ$2,'Cash Flow'!$F$44:$AJ$44))</f>
        <v>2.2915920931334361</v>
      </c>
      <c r="R7" s="327">
        <f>IF($B7&gt;Inputs!$G$17,"",D7+K7+L7)</f>
        <v>57974212.665742569</v>
      </c>
      <c r="S7" s="328">
        <f>IF($B7&gt;Inputs!$G$17,"",-(E7+F7+G7))</f>
        <v>11787040.320315398</v>
      </c>
    </row>
    <row r="8" spans="2:19" s="156" customFormat="1" ht="15.75" customHeight="1">
      <c r="B8" s="157">
        <v>2</v>
      </c>
      <c r="C8" s="152">
        <f>IF($B8&gt;Inputs!$G$17,"",IF($B8&lt;=Inputs!$Q$6,LOOKUP($B8,'Cash Flow'!$F$2:$AJ$2,'Cash Flow'!$F$14:$AJ$14),LOOKUP($B8,'Cash Flow'!$F$2:$AJ$2,'Cash Flow'!$F$16:$AJ$16)))</f>
        <v>18.550000000000008</v>
      </c>
      <c r="D8" s="149">
        <f>IF($B8&gt;Inputs!$G$17,"",LOOKUP($B8,'Cash Flow'!$F$2:$AJ$2,'Cash Flow'!$F$23:$AJ$23))</f>
        <v>20833988.404824466</v>
      </c>
      <c r="E8" s="149">
        <f>IF($B8&gt;Inputs!$G$17,"",LOOKUP($B8,'Cash Flow'!$F$2:$AJ$2,'Cash Flow'!$F$38:$AJ$38))</f>
        <v>-4761588.06201375</v>
      </c>
      <c r="F8" s="149">
        <f>IF($B8&gt;Inputs!$G$17,"",LOOKUP($B8,'Cash Flow'!$F$2:$AJ$2,'Cash Flow'!$F$88:$AJ$88))</f>
        <v>-7085170.2915028995</v>
      </c>
      <c r="G8" s="149">
        <f>IF($B8&gt;Inputs!$G$17,"",LOOKUP($B8,'Cash Flow'!$F$2:$AJ$2,'Cash Flow'!$F$50:$AJ$50)+LOOKUP($B8,'Cash Flow'!$F$2:$AJ$2,'Cash Flow'!$F$51:$AJ$51))</f>
        <v>0</v>
      </c>
      <c r="H8" s="149">
        <f>IF($B8&gt;Inputs!$G$17,"",SUM(D8:G8))</f>
        <v>8987230.0513078161</v>
      </c>
      <c r="I8" s="149">
        <f>IF($B8&gt;Inputs!$G$17,"",LOOKUP($B8,'Cash Flow'!$F$2:$AJ$2,'Cash Flow'!$F$63:$AJ$63))</f>
        <v>-15511778.001769803</v>
      </c>
      <c r="J8" s="149">
        <f>IF($B8&gt;Inputs!$G$17,"",LOOKUP($B8,'Cash Flow'!$F$2:$AJ$2,'Cash Flow'!$F$64:$AJ$64))</f>
        <v>-15511778.001769803</v>
      </c>
      <c r="K8" s="149">
        <f>IF($B8&gt;Inputs!$G$17,"",LOOKUP($B8,'Cash Flow'!$F$2:$AJ$2,'Cash Flow'!$F$66:$AJ$66)+LOOKUP($B8,'Cash Flow'!$F$2:$AJ$2,'Cash Flow'!$F$68:$AJ$68))</f>
        <v>4967646.9050667789</v>
      </c>
      <c r="L8" s="149">
        <f>IF($B8&gt;Inputs!$G$17,"",LOOKUP($B8,'Cash Flow'!$F$2:$AJ$2,'Cash Flow'!$F$67:$AJ$67)+LOOKUP($B8,'Cash Flow'!$F$2:$AJ$2,'Cash Flow'!$F$69:$AJ$69))</f>
        <v>1318501.1301504334</v>
      </c>
      <c r="M8" s="149">
        <f>IF($B8&gt;Inputs!$G$17,"",H8+K8+L8)</f>
        <v>15273378.086525029</v>
      </c>
      <c r="N8" s="149">
        <f>IF($B8&gt;Inputs!$G$17,N7,N7+M8)</f>
        <v>-18350106.40418569</v>
      </c>
      <c r="O8" s="153">
        <f>IF($B8&gt;Inputs!$G$17,"",LOOKUP($B8,'Cash Flow'!$F$2:$AJ$2,'Cash Flow'!$F$71:$AJ$71))</f>
        <v>-0.18614911265064804</v>
      </c>
      <c r="P8" s="154">
        <f>IF($B8&gt;Inputs!$G$17,"",LOOKUP($B8,'Cash Flow'!$F$2:$AJ$2,'Cash Flow'!$F$44:$AJ$44))</f>
        <v>2.2684564635074502</v>
      </c>
      <c r="R8" s="327">
        <f>IF($B8&gt;Inputs!$G$17,"",D8+K8+L8)</f>
        <v>27120136.44004168</v>
      </c>
      <c r="S8" s="328">
        <f>IF($B8&gt;Inputs!$G$17,"",-(E8+F8+G8))</f>
        <v>11846758.353516649</v>
      </c>
    </row>
    <row r="9" spans="2:19">
      <c r="B9" s="151">
        <v>3</v>
      </c>
      <c r="C9" s="152">
        <f>IF($B9&gt;Inputs!$G$17,"",IF($B9&lt;=Inputs!$Q$6,LOOKUP($B9,'Cash Flow'!$F$2:$AJ$2,'Cash Flow'!$F$14:$AJ$14),LOOKUP($B9,'Cash Flow'!$F$2:$AJ$2,'Cash Flow'!$F$16:$AJ$16)))</f>
        <v>18.550000000000008</v>
      </c>
      <c r="D9" s="149">
        <f>IF($B9&gt;Inputs!$G$17,"",LOOKUP($B9,'Cash Flow'!$F$2:$AJ$2,'Cash Flow'!$F$23:$AJ$23))</f>
        <v>20730307.571536962</v>
      </c>
      <c r="E9" s="149">
        <f>IF($B9&gt;Inputs!$G$17,"",LOOKUP($B9,'Cash Flow'!$F$2:$AJ$2,'Cash Flow'!$F$38:$AJ$38))</f>
        <v>-4822322.489804999</v>
      </c>
      <c r="F9" s="149">
        <f>IF($B9&gt;Inputs!$G$17,"",LOOKUP($B9,'Cash Flow'!$F$2:$AJ$2,'Cash Flow'!$F$88:$AJ$88))</f>
        <v>-7085170.2915028986</v>
      </c>
      <c r="G9" s="149">
        <f>IF($B9&gt;Inputs!$G$17,"",LOOKUP($B9,'Cash Flow'!$F$2:$AJ$2,'Cash Flow'!$F$50:$AJ$50)+LOOKUP($B9,'Cash Flow'!$F$2:$AJ$2,'Cash Flow'!$F$51:$AJ$51))</f>
        <v>0</v>
      </c>
      <c r="H9" s="149">
        <f>IF($B9&gt;Inputs!$G$17,"",SUM(D9:G9))</f>
        <v>8822814.7902290653</v>
      </c>
      <c r="I9" s="149">
        <f>IF($B9&gt;Inputs!$G$17,"",LOOKUP($B9,'Cash Flow'!$F$2:$AJ$2,'Cash Flow'!$F$63:$AJ$63))</f>
        <v>-4868676.0053469799</v>
      </c>
      <c r="J9" s="149">
        <f>IF($B9&gt;Inputs!$G$17,"",LOOKUP($B9,'Cash Flow'!$F$2:$AJ$2,'Cash Flow'!$F$64:$AJ$64))</f>
        <v>-4868676.0053469799</v>
      </c>
      <c r="K9" s="149">
        <f>IF($B9&gt;Inputs!$G$17,"",LOOKUP($B9,'Cash Flow'!$F$2:$AJ$2,'Cash Flow'!$F$66:$AJ$66)+LOOKUP($B9,'Cash Flow'!$F$2:$AJ$2,'Cash Flow'!$F$68:$AJ$68))</f>
        <v>1559193.49071237</v>
      </c>
      <c r="L9" s="149">
        <f>IF($B9&gt;Inputs!$G$17,"",LOOKUP($B9,'Cash Flow'!$F$2:$AJ$2,'Cash Flow'!$F$67:$AJ$67)+LOOKUP($B9,'Cash Flow'!$F$2:$AJ$2,'Cash Flow'!$F$69:$AJ$69))</f>
        <v>413837.46045449335</v>
      </c>
      <c r="M9" s="149">
        <f>IF($B9&gt;Inputs!$G$17,"",H9+K9+L9)</f>
        <v>10795845.74139593</v>
      </c>
      <c r="N9" s="149">
        <f>IF($B9&gt;Inputs!$G$17,N8,N8+M9)</f>
        <v>-7554260.6627897602</v>
      </c>
      <c r="O9" s="153">
        <f>IF($B9&gt;Inputs!$G$17,"",LOOKUP($B9,'Cash Flow'!$F$2:$AJ$2,'Cash Flow'!$F$71:$AJ$71))</f>
        <v>-6.2989715094042609E-2</v>
      </c>
      <c r="P9" s="154">
        <f>IF($B9&gt;Inputs!$G$17,"",LOOKUP($B9,'Cash Flow'!$F$2:$AJ$2,'Cash Flow'!$F$44:$AJ$44))</f>
        <v>2.2452509152546538</v>
      </c>
      <c r="R9" s="327">
        <f>IF($B9&gt;Inputs!$G$17,"",D9+K9+L9)</f>
        <v>22703338.522703826</v>
      </c>
      <c r="S9" s="328">
        <f>IF($B9&gt;Inputs!$G$17,"",-(E9+F9+G9))</f>
        <v>11907492.781307898</v>
      </c>
    </row>
    <row r="10" spans="2:19">
      <c r="B10" s="151">
        <v>4</v>
      </c>
      <c r="C10" s="152">
        <f>IF($B10&gt;Inputs!$G$17,"",IF($B10&lt;=Inputs!$Q$6,LOOKUP($B10,'Cash Flow'!$F$2:$AJ$2,'Cash Flow'!$F$14:$AJ$14),LOOKUP($B10,'Cash Flow'!$F$2:$AJ$2,'Cash Flow'!$F$16:$AJ$16)))</f>
        <v>18.550000000000008</v>
      </c>
      <c r="D10" s="149">
        <f>IF($B10&gt;Inputs!$G$17,"",LOOKUP($B10,'Cash Flow'!$F$2:$AJ$2,'Cash Flow'!$F$23:$AJ$23))</f>
        <v>20627145.1424159</v>
      </c>
      <c r="E10" s="149">
        <f>IF($B10&gt;Inputs!$G$17,"",LOOKUP($B10,'Cash Flow'!$F$2:$AJ$2,'Cash Flow'!$F$38:$AJ$38))</f>
        <v>-4884089.4331710478</v>
      </c>
      <c r="F10" s="149">
        <f>IF($B10&gt;Inputs!$G$17,"",LOOKUP($B10,'Cash Flow'!$F$2:$AJ$2,'Cash Flow'!$F$88:$AJ$88))</f>
        <v>-7085170.2915028995</v>
      </c>
      <c r="G10" s="149">
        <f>IF($B10&gt;Inputs!$G$17,"",LOOKUP($B10,'Cash Flow'!$F$2:$AJ$2,'Cash Flow'!$F$50:$AJ$50)+LOOKUP($B10,'Cash Flow'!$F$2:$AJ$2,'Cash Flow'!$F$51:$AJ$51))</f>
        <v>0</v>
      </c>
      <c r="H10" s="149">
        <f>IF($B10&gt;Inputs!$G$17,"",SUM(D10:G10))</f>
        <v>8657885.4177419506</v>
      </c>
      <c r="I10" s="149">
        <f>IF($B10&gt;Inputs!$G$17,"",LOOKUP($B10,'Cash Flow'!$F$2:$AJ$2,'Cash Flow'!$F$63:$AJ$63))</f>
        <v>1006593.7754807808</v>
      </c>
      <c r="J10" s="149">
        <f>IF($B10&gt;Inputs!$G$17,"",LOOKUP($B10,'Cash Flow'!$F$2:$AJ$2,'Cash Flow'!$F$64:$AJ$64))</f>
        <v>1006593.7754807808</v>
      </c>
      <c r="K10" s="149">
        <f>IF($B10&gt;Inputs!$G$17,"",LOOKUP($B10,'Cash Flow'!$F$2:$AJ$2,'Cash Flow'!$F$66:$AJ$66)+LOOKUP($B10,'Cash Flow'!$F$2:$AJ$2,'Cash Flow'!$F$68:$AJ$68))</f>
        <v>-322361.65659772005</v>
      </c>
      <c r="L10" s="149">
        <f>IF($B10&gt;Inputs!$G$17,"",LOOKUP($B10,'Cash Flow'!$F$2:$AJ$2,'Cash Flow'!$F$67:$AJ$67)+LOOKUP($B10,'Cash Flow'!$F$2:$AJ$2,'Cash Flow'!$F$69:$AJ$69))</f>
        <v>-85560.470915866375</v>
      </c>
      <c r="M10" s="149">
        <f>IF($B10&gt;Inputs!$G$17,"",H10+K10+L10)</f>
        <v>8249963.2902283641</v>
      </c>
      <c r="N10" s="149">
        <f>IF($B10&gt;Inputs!$G$17,N9,N9+M10)</f>
        <v>695702.6274386039</v>
      </c>
      <c r="O10" s="153">
        <f>IF($B10&gt;Inputs!$G$17,"",LOOKUP($B10,'Cash Flow'!$F$2:$AJ$2,'Cash Flow'!$F$71:$AJ$71))</f>
        <v>4.9358304362570049E-3</v>
      </c>
      <c r="P10" s="154">
        <f>IF($B10&gt;Inputs!$G$17,"",LOOKUP($B10,'Cash Flow'!$F$2:$AJ$2,'Cash Flow'!$F$44:$AJ$44))</f>
        <v>2.2219728053855214</v>
      </c>
      <c r="R10" s="327">
        <f>IF($B10&gt;Inputs!$G$17,"",D10+K10+L10)</f>
        <v>20219223.014902316</v>
      </c>
      <c r="S10" s="328">
        <f>IF($B10&gt;Inputs!$G$17,"",-(E10+F10+G10))</f>
        <v>11969259.724673947</v>
      </c>
    </row>
    <row r="11" spans="2:19">
      <c r="B11" s="157">
        <v>5</v>
      </c>
      <c r="C11" s="152">
        <f>IF($B11&gt;Inputs!$G$17,"",IF($B11&lt;=Inputs!$Q$6,LOOKUP($B11,'Cash Flow'!$F$2:$AJ$2,'Cash Flow'!$F$14:$AJ$14),LOOKUP($B11,'Cash Flow'!$F$2:$AJ$2,'Cash Flow'!$F$16:$AJ$16)))</f>
        <v>18.550000000000008</v>
      </c>
      <c r="D11" s="149">
        <f>IF($B11&gt;Inputs!$G$17,"",LOOKUP($B11,'Cash Flow'!$F$2:$AJ$2,'Cash Flow'!$F$23:$AJ$23))</f>
        <v>20524498.525440443</v>
      </c>
      <c r="E11" s="149">
        <f>IF($B11&gt;Inputs!$G$17,"",LOOKUP($B11,'Cash Flow'!$F$2:$AJ$2,'Cash Flow'!$F$38:$AJ$38))</f>
        <v>-4946905.2806095351</v>
      </c>
      <c r="F11" s="149">
        <f>IF($B11&gt;Inputs!$G$17,"",LOOKUP($B11,'Cash Flow'!$F$2:$AJ$2,'Cash Flow'!$F$88:$AJ$88))</f>
        <v>-7085170.2915028995</v>
      </c>
      <c r="G11" s="149">
        <f>IF($B11&gt;Inputs!$G$17,"",LOOKUP($B11,'Cash Flow'!$F$2:$AJ$2,'Cash Flow'!$F$50:$AJ$50)+LOOKUP($B11,'Cash Flow'!$F$2:$AJ$2,'Cash Flow'!$F$51:$AJ$51))</f>
        <v>0</v>
      </c>
      <c r="H11" s="149">
        <f>IF($B11&gt;Inputs!$G$17,"",SUM(D11:G11))</f>
        <v>8492422.9533280097</v>
      </c>
      <c r="I11" s="149">
        <f>IF($B11&gt;Inputs!$G$17,"",LOOKUP($B11,'Cash Flow'!$F$2:$AJ$2,'Cash Flow'!$F$63:$AJ$63))</f>
        <v>1037351.4815835785</v>
      </c>
      <c r="J11" s="149">
        <f>IF($B11&gt;Inputs!$G$17,"",LOOKUP($B11,'Cash Flow'!$F$2:$AJ$2,'Cash Flow'!$F$64:$AJ$64))</f>
        <v>1037351.4815835785</v>
      </c>
      <c r="K11" s="149">
        <f>IF($B11&gt;Inputs!$G$17,"",LOOKUP($B11,'Cash Flow'!$F$2:$AJ$2,'Cash Flow'!$F$66:$AJ$66)+LOOKUP($B11,'Cash Flow'!$F$2:$AJ$2,'Cash Flow'!$F$68:$AJ$68))</f>
        <v>-332211.81197714101</v>
      </c>
      <c r="L11" s="149">
        <f>IF($B11&gt;Inputs!$G$17,"",LOOKUP($B11,'Cash Flow'!$F$2:$AJ$2,'Cash Flow'!$F$67:$AJ$67)+LOOKUP($B11,'Cash Flow'!$F$2:$AJ$2,'Cash Flow'!$F$69:$AJ$69))</f>
        <v>-88174.875934604177</v>
      </c>
      <c r="M11" s="149">
        <f>IF($B11&gt;Inputs!$G$17,"",H11+K11+L11)</f>
        <v>8072036.2654162645</v>
      </c>
      <c r="N11" s="149">
        <f>IF($B11&gt;Inputs!$G$17,N10,N10+M11)</f>
        <v>8767738.8928548694</v>
      </c>
      <c r="O11" s="153">
        <f>IF($B11&gt;Inputs!$G$17,"",LOOKUP($B11,'Cash Flow'!$F$2:$AJ$2,'Cash Flow'!$F$71:$AJ$71))</f>
        <v>5.3121141511872416E-2</v>
      </c>
      <c r="P11" s="154">
        <f>IF($B11&gt;Inputs!$G$17,"",LOOKUP($B11,'Cash Flow'!$F$2:$AJ$2,'Cash Flow'!$F$44:$AJ$44))</f>
        <v>2.1986194549921825</v>
      </c>
      <c r="R11" s="327">
        <f>IF($B11&gt;Inputs!$G$17,"",D11+K11+L11)</f>
        <v>20104111.837528698</v>
      </c>
      <c r="S11" s="328">
        <f>IF($B11&gt;Inputs!$G$17,"",-(E11+F11+G11))</f>
        <v>12032075.572112434</v>
      </c>
    </row>
    <row r="12" spans="2:19">
      <c r="B12" s="151">
        <v>6</v>
      </c>
      <c r="C12" s="152">
        <f>IF($B12&gt;Inputs!$G$17,"",IF($B12&lt;=Inputs!$Q$6,LOOKUP($B12,'Cash Flow'!$F$2:$AJ$2,'Cash Flow'!$F$14:$AJ$14),LOOKUP($B12,'Cash Flow'!$F$2:$AJ$2,'Cash Flow'!$F$16:$AJ$16)))</f>
        <v>18.550000000000008</v>
      </c>
      <c r="D12" s="149">
        <f>IF($B12&gt;Inputs!$G$17,"",LOOKUP($B12,'Cash Flow'!$F$2:$AJ$2,'Cash Flow'!$F$23:$AJ$23))</f>
        <v>20422365.141549863</v>
      </c>
      <c r="E12" s="149">
        <f>IF($B12&gt;Inputs!$G$17,"",LOOKUP($B12,'Cash Flow'!$F$2:$AJ$2,'Cash Flow'!$F$38:$AJ$38))</f>
        <v>-5010786.6926242122</v>
      </c>
      <c r="F12" s="149">
        <f>IF($B12&gt;Inputs!$G$17,"",LOOKUP($B12,'Cash Flow'!$F$2:$AJ$2,'Cash Flow'!$F$88:$AJ$88))</f>
        <v>-7085170.2915028986</v>
      </c>
      <c r="G12" s="149">
        <f>IF($B12&gt;Inputs!$G$17,"",LOOKUP($B12,'Cash Flow'!$F$2:$AJ$2,'Cash Flow'!$F$50:$AJ$50)+LOOKUP($B12,'Cash Flow'!$F$2:$AJ$2,'Cash Flow'!$F$51:$AJ$51))</f>
        <v>0</v>
      </c>
      <c r="H12" s="149">
        <f>IF($B12&gt;Inputs!$G$17,"",SUM(D12:G12))</f>
        <v>8326408.1574227531</v>
      </c>
      <c r="I12" s="149">
        <f>IF($B12&gt;Inputs!$G$17,"",LOOKUP($B12,'Cash Flow'!$F$2:$AJ$2,'Cash Flow'!$F$63:$AJ$63))</f>
        <v>5819353.4353876235</v>
      </c>
      <c r="J12" s="149">
        <f>IF($B12&gt;Inputs!$G$17,"",LOOKUP($B12,'Cash Flow'!$F$2:$AJ$2,'Cash Flow'!$F$64:$AJ$64))</f>
        <v>5819353.4353876235</v>
      </c>
      <c r="K12" s="149">
        <f>IF($B12&gt;Inputs!$G$17,"",LOOKUP($B12,'Cash Flow'!$F$2:$AJ$2,'Cash Flow'!$F$66:$AJ$66)+LOOKUP($B12,'Cash Flow'!$F$2:$AJ$2,'Cash Flow'!$F$68:$AJ$68))</f>
        <v>-1863647.9376828861</v>
      </c>
      <c r="L12" s="149">
        <f>IF($B12&gt;Inputs!$G$17,"",LOOKUP($B12,'Cash Flow'!$F$2:$AJ$2,'Cash Flow'!$F$67:$AJ$67)+LOOKUP($B12,'Cash Flow'!$F$2:$AJ$2,'Cash Flow'!$F$69:$AJ$69))</f>
        <v>-494645.04200794804</v>
      </c>
      <c r="M12" s="149">
        <f>IF($B12&gt;Inputs!$G$17,"",H12+K12+L12)</f>
        <v>5968115.1777319191</v>
      </c>
      <c r="N12" s="149">
        <f>IF($B12&gt;Inputs!$G$17,N11,N11+M12)</f>
        <v>14735854.070586789</v>
      </c>
      <c r="O12" s="153">
        <f>IF($B12&gt;Inputs!$G$17,"",LOOKUP($B12,'Cash Flow'!$F$2:$AJ$2,'Cash Flow'!$F$71:$AJ$71))</f>
        <v>7.9606414507810586E-2</v>
      </c>
      <c r="P12" s="154">
        <f>IF($B12&gt;Inputs!$G$17,"",LOOKUP($B12,'Cash Flow'!$F$2:$AJ$2,'Cash Flow'!$F$44:$AJ$44))</f>
        <v>2.1751881486050442</v>
      </c>
      <c r="R12" s="327">
        <f>IF($B12&gt;Inputs!$G$17,"",D12+K12+L12)</f>
        <v>18064072.161859028</v>
      </c>
      <c r="S12" s="328">
        <f>IF($B12&gt;Inputs!$G$17,"",-(E12+F12+G12))</f>
        <v>12095956.984127112</v>
      </c>
    </row>
    <row r="13" spans="2:19">
      <c r="B13" s="151">
        <v>7</v>
      </c>
      <c r="C13" s="152">
        <f>IF($B13&gt;Inputs!$G$17,"",IF($B13&lt;=Inputs!$Q$6,LOOKUP($B13,'Cash Flow'!$F$2:$AJ$2,'Cash Flow'!$F$14:$AJ$14),LOOKUP($B13,'Cash Flow'!$F$2:$AJ$2,'Cash Flow'!$F$16:$AJ$16)))</f>
        <v>18.550000000000008</v>
      </c>
      <c r="D13" s="149">
        <f>IF($B13&gt;Inputs!$G$17,"",LOOKUP($B13,'Cash Flow'!$F$2:$AJ$2,'Cash Flow'!$F$23:$AJ$23))</f>
        <v>20320742.424578737</v>
      </c>
      <c r="E13" s="149">
        <f>IF($B13&gt;Inputs!$G$17,"",LOOKUP($B13,'Cash Flow'!$F$2:$AJ$2,'Cash Flow'!$F$38:$AJ$38))</f>
        <v>-5075750.6062954944</v>
      </c>
      <c r="F13" s="149">
        <f>IF($B13&gt;Inputs!$G$17,"",LOOKUP($B13,'Cash Flow'!$F$2:$AJ$2,'Cash Flow'!$F$88:$AJ$88))</f>
        <v>-7085170.2915028995</v>
      </c>
      <c r="G13" s="149">
        <f>IF($B13&gt;Inputs!$G$17,"",LOOKUP($B13,'Cash Flow'!$F$2:$AJ$2,'Cash Flow'!$F$50:$AJ$50)+LOOKUP($B13,'Cash Flow'!$F$2:$AJ$2,'Cash Flow'!$F$51:$AJ$51))</f>
        <v>0</v>
      </c>
      <c r="H13" s="149">
        <f>IF($B13&gt;Inputs!$G$17,"",SUM(D13:G13))</f>
        <v>8159821.5267803436</v>
      </c>
      <c r="I13" s="149">
        <f>IF($B13&gt;Inputs!$G$17,"",LOOKUP($B13,'Cash Flow'!$F$2:$AJ$2,'Cash Flow'!$F$63:$AJ$63))</f>
        <v>10686355.959092777</v>
      </c>
      <c r="J13" s="149">
        <f>IF($B13&gt;Inputs!$G$17,"",LOOKUP($B13,'Cash Flow'!$F$2:$AJ$2,'Cash Flow'!$F$64:$AJ$64))</f>
        <v>10686355.959092777</v>
      </c>
      <c r="K13" s="149">
        <f>IF($B13&gt;Inputs!$G$17,"",LOOKUP($B13,'Cash Flow'!$F$2:$AJ$2,'Cash Flow'!$F$66:$AJ$66)+LOOKUP($B13,'Cash Flow'!$F$2:$AJ$2,'Cash Flow'!$F$68:$AJ$68))</f>
        <v>-3422305.4958994617</v>
      </c>
      <c r="L13" s="149">
        <f>IF($B13&gt;Inputs!$G$17,"",LOOKUP($B13,'Cash Flow'!$F$2:$AJ$2,'Cash Flow'!$F$67:$AJ$67)+LOOKUP($B13,'Cash Flow'!$F$2:$AJ$2,'Cash Flow'!$F$69:$AJ$69))</f>
        <v>-908340.25652288611</v>
      </c>
      <c r="M13" s="149">
        <f>IF($B13&gt;Inputs!$G$17,"",H13+K13+L13)</f>
        <v>3829175.7743579955</v>
      </c>
      <c r="N13" s="149">
        <f>IF($B13&gt;Inputs!$G$17,N12,N12+M13)</f>
        <v>18565029.844944786</v>
      </c>
      <c r="O13" s="153">
        <f>IF($B13&gt;Inputs!$G$17,"",LOOKUP($B13,'Cash Flow'!$F$2:$AJ$2,'Cash Flow'!$F$71:$AJ$71))</f>
        <v>9.3060164317027461E-2</v>
      </c>
      <c r="P13" s="154">
        <f>IF($B13&gt;Inputs!$G$17,"",LOOKUP($B13,'Cash Flow'!$F$2:$AJ$2,'Cash Flow'!$F$44:$AJ$44))</f>
        <v>2.1516761335385617</v>
      </c>
      <c r="R13" s="327">
        <f>IF($B13&gt;Inputs!$G$17,"",D13+K13+L13)</f>
        <v>15990096.67215639</v>
      </c>
      <c r="S13" s="328">
        <f>IF($B13&gt;Inputs!$G$17,"",-(E13+F13+G13))</f>
        <v>12160920.897798393</v>
      </c>
    </row>
    <row r="14" spans="2:19">
      <c r="B14" s="157">
        <v>8</v>
      </c>
      <c r="C14" s="152">
        <f>IF($B14&gt;Inputs!$G$17,"",IF($B14&lt;=Inputs!$Q$6,LOOKUP($B14,'Cash Flow'!$F$2:$AJ$2,'Cash Flow'!$F$14:$AJ$14),LOOKUP($B14,'Cash Flow'!$F$2:$AJ$2,'Cash Flow'!$F$16:$AJ$16)))</f>
        <v>18.550000000000008</v>
      </c>
      <c r="D14" s="149">
        <f>IF($B14&gt;Inputs!$G$17,"",LOOKUP($B14,'Cash Flow'!$F$2:$AJ$2,'Cash Flow'!$F$23:$AJ$23))</f>
        <v>20219627.821192462</v>
      </c>
      <c r="E14" s="149">
        <f>IF($B14&gt;Inputs!$G$17,"",LOOKUP($B14,'Cash Flow'!$F$2:$AJ$2,'Cash Flow'!$F$38:$AJ$38))</f>
        <v>-5141814.2399296593</v>
      </c>
      <c r="F14" s="149">
        <f>IF($B14&gt;Inputs!$G$17,"",LOOKUP($B14,'Cash Flow'!$F$2:$AJ$2,'Cash Flow'!$F$88:$AJ$88))</f>
        <v>-7085170.2915029004</v>
      </c>
      <c r="G14" s="149">
        <f>IF($B14&gt;Inputs!$G$17,"",LOOKUP($B14,'Cash Flow'!$F$2:$AJ$2,'Cash Flow'!$F$50:$AJ$50)+LOOKUP($B14,'Cash Flow'!$F$2:$AJ$2,'Cash Flow'!$F$51:$AJ$51))</f>
        <v>0</v>
      </c>
      <c r="H14" s="149">
        <f>IF($B14&gt;Inputs!$G$17,"",SUM(D14:G14))</f>
        <v>7992643.2897599023</v>
      </c>
      <c r="I14" s="149">
        <f>IF($B14&gt;Inputs!$G$17,"",LOOKUP($B14,'Cash Flow'!$F$2:$AJ$2,'Cash Flow'!$F$63:$AJ$63))</f>
        <v>10794415.917795675</v>
      </c>
      <c r="J14" s="149">
        <f>IF($B14&gt;Inputs!$G$17,"",LOOKUP($B14,'Cash Flow'!$F$2:$AJ$2,'Cash Flow'!$F$64:$AJ$64))</f>
        <v>10794415.917795675</v>
      </c>
      <c r="K14" s="149">
        <f>IF($B14&gt;Inputs!$G$17,"",LOOKUP($B14,'Cash Flow'!$F$2:$AJ$2,'Cash Flow'!$F$66:$AJ$66)+LOOKUP($B14,'Cash Flow'!$F$2:$AJ$2,'Cash Flow'!$F$68:$AJ$68))</f>
        <v>-3456911.6976740644</v>
      </c>
      <c r="L14" s="149">
        <f>IF($B14&gt;Inputs!$G$17,"",LOOKUP($B14,'Cash Flow'!$F$2:$AJ$2,'Cash Flow'!$F$67:$AJ$67)+LOOKUP($B14,'Cash Flow'!$F$2:$AJ$2,'Cash Flow'!$F$69:$AJ$69))</f>
        <v>-917525.35301263246</v>
      </c>
      <c r="M14" s="149">
        <f>IF($B14&gt;Inputs!$G$17,"",H14+K14+L14)</f>
        <v>3618206.2390732057</v>
      </c>
      <c r="N14" s="149">
        <f>IF($B14&gt;Inputs!$G$17,N13,N13+M14)</f>
        <v>22183236.084017992</v>
      </c>
      <c r="O14" s="153">
        <f>IF($B14&gt;Inputs!$G$17,"",LOOKUP($B14,'Cash Flow'!$F$2:$AJ$2,'Cash Flow'!$F$71:$AJ$71))</f>
        <v>0.10344436209701935</v>
      </c>
      <c r="P14" s="154">
        <f>IF($B14&gt;Inputs!$G$17,"",LOOKUP($B14,'Cash Flow'!$F$2:$AJ$2,'Cash Flow'!$F$44:$AJ$44))</f>
        <v>2.1280806192259507</v>
      </c>
      <c r="R14" s="327">
        <f>IF($B14&gt;Inputs!$G$17,"",D14+K14+L14)</f>
        <v>15845190.770505765</v>
      </c>
      <c r="S14" s="328">
        <f>IF($B14&gt;Inputs!$G$17,"",-(E14+F14+G14))</f>
        <v>12226984.53143256</v>
      </c>
    </row>
    <row r="15" spans="2:19">
      <c r="B15" s="151">
        <v>9</v>
      </c>
      <c r="C15" s="152">
        <f>IF($B15&gt;Inputs!$G$17,"",IF($B15&lt;=Inputs!$Q$6,LOOKUP($B15,'Cash Flow'!$F$2:$AJ$2,'Cash Flow'!$F$14:$AJ$14),LOOKUP($B15,'Cash Flow'!$F$2:$AJ$2,'Cash Flow'!$F$16:$AJ$16)))</f>
        <v>18.550000000000008</v>
      </c>
      <c r="D15" s="149">
        <f>IF($B15&gt;Inputs!$G$17,"",LOOKUP($B15,'Cash Flow'!$F$2:$AJ$2,'Cash Flow'!$F$23:$AJ$23))</f>
        <v>20119018.790823124</v>
      </c>
      <c r="E15" s="149">
        <f>IF($B15&gt;Inputs!$G$17,"",LOOKUP($B15,'Cash Flow'!$F$2:$AJ$2,'Cash Flow'!$F$38:$AJ$38))</f>
        <v>-5208995.0977880899</v>
      </c>
      <c r="F15" s="149">
        <f>IF($B15&gt;Inputs!$G$17,"",LOOKUP($B15,'Cash Flow'!$F$2:$AJ$2,'Cash Flow'!$F$88:$AJ$88))</f>
        <v>-7085170.2915029004</v>
      </c>
      <c r="G15" s="149">
        <f>IF($B15&gt;Inputs!$G$17,"",LOOKUP($B15,'Cash Flow'!$F$2:$AJ$2,'Cash Flow'!$F$50:$AJ$50)+LOOKUP($B15,'Cash Flow'!$F$2:$AJ$2,'Cash Flow'!$F$51:$AJ$51))</f>
        <v>0</v>
      </c>
      <c r="H15" s="149">
        <f>IF($B15&gt;Inputs!$G$17,"",SUM(D15:G15))</f>
        <v>7824853.401532134</v>
      </c>
      <c r="I15" s="149">
        <f>IF($B15&gt;Inputs!$G$17,"",LOOKUP($B15,'Cash Flow'!$F$2:$AJ$2,'Cash Flow'!$F$63:$AJ$63))</f>
        <v>10920632.960849537</v>
      </c>
      <c r="J15" s="149">
        <f>IF($B15&gt;Inputs!$G$17,"",LOOKUP($B15,'Cash Flow'!$F$2:$AJ$2,'Cash Flow'!$F$64:$AJ$64))</f>
        <v>10920632.960849537</v>
      </c>
      <c r="K15" s="149">
        <f>IF($B15&gt;Inputs!$G$17,"",LOOKUP($B15,'Cash Flow'!$F$2:$AJ$2,'Cash Flow'!$F$66:$AJ$66)+LOOKUP($B15,'Cash Flow'!$F$2:$AJ$2,'Cash Flow'!$F$68:$AJ$68))</f>
        <v>-3497332.7057120637</v>
      </c>
      <c r="L15" s="149">
        <f>IF($B15&gt;Inputs!$G$17,"",LOOKUP($B15,'Cash Flow'!$F$2:$AJ$2,'Cash Flow'!$F$67:$AJ$67)+LOOKUP($B15,'Cash Flow'!$F$2:$AJ$2,'Cash Flow'!$F$69:$AJ$69))</f>
        <v>-928253.80167221068</v>
      </c>
      <c r="M15" s="149">
        <f>IF($B15&gt;Inputs!$G$17,"",H15+K15+L15)</f>
        <v>3399266.8941478599</v>
      </c>
      <c r="N15" s="149">
        <f>IF($B15&gt;Inputs!$G$17,N14,N14+M15)</f>
        <v>25582502.97816585</v>
      </c>
      <c r="O15" s="153">
        <f>IF($B15&gt;Inputs!$G$17,"",LOOKUP($B15,'Cash Flow'!$F$2:$AJ$2,'Cash Flow'!$F$71:$AJ$71))</f>
        <v>0.11143797047877513</v>
      </c>
      <c r="P15" s="154">
        <f>IF($B15&gt;Inputs!$G$17,"",LOOKUP($B15,'Cash Flow'!$F$2:$AJ$2,'Cash Flow'!$F$44:$AJ$44))</f>
        <v>2.10439877654265</v>
      </c>
      <c r="R15" s="327">
        <f>IF($B15&gt;Inputs!$G$17,"",D15+K15+L15)</f>
        <v>15693432.28343885</v>
      </c>
      <c r="S15" s="328">
        <f>IF($B15&gt;Inputs!$G$17,"",-(E15+F15+G15))</f>
        <v>12294165.38929099</v>
      </c>
    </row>
    <row r="16" spans="2:19">
      <c r="B16" s="151">
        <v>10</v>
      </c>
      <c r="C16" s="152">
        <f>IF($B16&gt;Inputs!$G$17,"",IF($B16&lt;=Inputs!$Q$6,LOOKUP($B16,'Cash Flow'!$F$2:$AJ$2,'Cash Flow'!$F$14:$AJ$14),LOOKUP($B16,'Cash Flow'!$F$2:$AJ$2,'Cash Flow'!$F$16:$AJ$16)))</f>
        <v>18.550000000000008</v>
      </c>
      <c r="D16" s="149">
        <f>IF($B16&gt;Inputs!$G$17,"",LOOKUP($B16,'Cash Flow'!$F$2:$AJ$2,'Cash Flow'!$F$23:$AJ$23))</f>
        <v>20018912.805605631</v>
      </c>
      <c r="E16" s="149">
        <f>IF($B16&gt;Inputs!$G$17,"",LOOKUP($B16,'Cash Flow'!$F$2:$AJ$2,'Cash Flow'!$F$38:$AJ$38))</f>
        <v>-5277310.9748979332</v>
      </c>
      <c r="F16" s="149">
        <f>IF($B16&gt;Inputs!$G$17,"",LOOKUP($B16,'Cash Flow'!$F$2:$AJ$2,'Cash Flow'!$F$88:$AJ$88))</f>
        <v>-7085170.2915029004</v>
      </c>
      <c r="G16" s="149">
        <f>IF($B16&gt;Inputs!$G$17,"",LOOKUP($B16,'Cash Flow'!$F$2:$AJ$2,'Cash Flow'!$F$50:$AJ$50)+LOOKUP($B16,'Cash Flow'!$F$2:$AJ$2,'Cash Flow'!$F$51:$AJ$51))</f>
        <v>0</v>
      </c>
      <c r="H16" s="149">
        <f>IF($B16&gt;Inputs!$G$17,"",SUM(D16:G16))</f>
        <v>7656431.5392047986</v>
      </c>
      <c r="I16" s="149">
        <f>IF($B16&gt;Inputs!$G$17,"",LOOKUP($B16,'Cash Flow'!$F$2:$AJ$2,'Cash Flow'!$F$63:$AJ$63))</f>
        <v>11066572.342818744</v>
      </c>
      <c r="J16" s="149">
        <f>IF($B16&gt;Inputs!$G$17,"",LOOKUP($B16,'Cash Flow'!$F$2:$AJ$2,'Cash Flow'!$F$64:$AJ$64))</f>
        <v>11066572.342818744</v>
      </c>
      <c r="K16" s="149">
        <f>IF($B16&gt;Inputs!$G$17,"",LOOKUP($B16,'Cash Flow'!$F$2:$AJ$2,'Cash Flow'!$F$66:$AJ$66)+LOOKUP($B16,'Cash Flow'!$F$2:$AJ$2,'Cash Flow'!$F$68:$AJ$68))</f>
        <v>-3544069.7927877023</v>
      </c>
      <c r="L16" s="149">
        <f>IF($B16&gt;Inputs!$G$17,"",LOOKUP($B16,'Cash Flow'!$F$2:$AJ$2,'Cash Flow'!$F$67:$AJ$67)+LOOKUP($B16,'Cash Flow'!$F$2:$AJ$2,'Cash Flow'!$F$69:$AJ$69))</f>
        <v>-940658.64913959336</v>
      </c>
      <c r="M16" s="149">
        <f>IF($B16&gt;Inputs!$G$17,"",H16+K16+L16)</f>
        <v>3171703.097277503</v>
      </c>
      <c r="N16" s="149">
        <f>IF($B16&gt;Inputs!$G$17,N15,N15+M16)</f>
        <v>28754206.075443354</v>
      </c>
      <c r="O16" s="153">
        <f>IF($B16&gt;Inputs!$G$17,"",LOOKUP($B16,'Cash Flow'!$F$2:$AJ$2,'Cash Flow'!$F$71:$AJ$71))</f>
        <v>0.11758415504127773</v>
      </c>
      <c r="P16" s="154">
        <f>IF($B16&gt;Inputs!$G$17,"",LOOKUP($B16,'Cash Flow'!$F$2:$AJ$2,'Cash Flow'!$F$44:$AJ$44))</f>
        <v>2.0806277371183302</v>
      </c>
      <c r="R16" s="327">
        <f>IF($B16&gt;Inputs!$G$17,"",D16+K16+L16)</f>
        <v>15534184.363678336</v>
      </c>
      <c r="S16" s="328">
        <f>IF($B16&gt;Inputs!$G$17,"",-(E16+F16+G16))</f>
        <v>12362481.266400833</v>
      </c>
    </row>
    <row r="17" spans="2:19">
      <c r="B17" s="157">
        <v>11</v>
      </c>
      <c r="C17" s="152">
        <f>IF($B17&gt;Inputs!$G$17,"",IF($B17&lt;=Inputs!$Q$6,LOOKUP($B17,'Cash Flow'!$F$2:$AJ$2,'Cash Flow'!$F$14:$AJ$14),LOOKUP($B17,'Cash Flow'!$F$2:$AJ$2,'Cash Flow'!$F$16:$AJ$16)))</f>
        <v>18.550000000000008</v>
      </c>
      <c r="D17" s="149">
        <f>IF($B17&gt;Inputs!$G$17,"",LOOKUP($B17,'Cash Flow'!$F$2:$AJ$2,'Cash Flow'!$F$23:$AJ$23))</f>
        <v>19919307.350314226</v>
      </c>
      <c r="E17" s="149">
        <f>IF($B17&gt;Inputs!$G$17,"",LOOKUP($B17,'Cash Flow'!$F$2:$AJ$2,'Cash Flow'!$F$38:$AJ$38))</f>
        <v>-5346779.9619456418</v>
      </c>
      <c r="F17" s="149">
        <f>IF($B17&gt;Inputs!$G$17,"",LOOKUP($B17,'Cash Flow'!$F$2:$AJ$2,'Cash Flow'!$F$88:$AJ$88))</f>
        <v>-7085170.2915028995</v>
      </c>
      <c r="G17" s="149">
        <f>IF($B17&gt;Inputs!$G$17,"",LOOKUP($B17,'Cash Flow'!$F$2:$AJ$2,'Cash Flow'!$F$50:$AJ$50)+LOOKUP($B17,'Cash Flow'!$F$2:$AJ$2,'Cash Flow'!$F$51:$AJ$51))</f>
        <v>0</v>
      </c>
      <c r="H17" s="149">
        <f>IF($B17&gt;Inputs!$G$17,"",SUM(D17:G17))</f>
        <v>7487357.0968656847</v>
      </c>
      <c r="I17" s="149">
        <f>IF($B17&gt;Inputs!$G$17,"",LOOKUP($B17,'Cash Flow'!$F$2:$AJ$2,'Cash Flow'!$F$63:$AJ$63))</f>
        <v>11233276.57921664</v>
      </c>
      <c r="J17" s="149">
        <f>IF($B17&gt;Inputs!$G$17,"",LOOKUP($B17,'Cash Flow'!$F$2:$AJ$2,'Cash Flow'!$F$64:$AJ$64))</f>
        <v>11233276.57921664</v>
      </c>
      <c r="K17" s="149">
        <f>IF($B17&gt;Inputs!$G$17,"",LOOKUP($B17,'Cash Flow'!$F$2:$AJ$2,'Cash Flow'!$F$66:$AJ$66)+LOOKUP($B17,'Cash Flow'!$F$2:$AJ$2,'Cash Flow'!$F$68:$AJ$68))</f>
        <v>-3597456.8244941286</v>
      </c>
      <c r="L17" s="149">
        <f>IF($B17&gt;Inputs!$G$17,"",LOOKUP($B17,'Cash Flow'!$F$2:$AJ$2,'Cash Flow'!$F$67:$AJ$67)+LOOKUP($B17,'Cash Flow'!$F$2:$AJ$2,'Cash Flow'!$F$69:$AJ$69))</f>
        <v>-954828.50923341454</v>
      </c>
      <c r="M17" s="149">
        <f>IF($B17&gt;Inputs!$G$17,"",H17+K17+L17)</f>
        <v>2935071.7631381415</v>
      </c>
      <c r="N17" s="149">
        <f>IF($B17&gt;Inputs!$G$17,N16,N16+M17)</f>
        <v>31689277.838581495</v>
      </c>
      <c r="O17" s="153">
        <f>IF($B17&gt;Inputs!$G$17,"",LOOKUP($B17,'Cash Flow'!$F$2:$AJ$2,'Cash Flow'!$F$71:$AJ$71))</f>
        <v>0.12230330240683074</v>
      </c>
      <c r="P17" s="154">
        <f>IF($B17&gt;Inputs!$G$17,"",LOOKUP($B17,'Cash Flow'!$F$2:$AJ$2,'Cash Flow'!$F$44:$AJ$44))</f>
        <v>2.0567645926372609</v>
      </c>
      <c r="R17" s="327">
        <f>IF($B17&gt;Inputs!$G$17,"",D17+K17+L17)</f>
        <v>15367022.016586682</v>
      </c>
      <c r="S17" s="328">
        <f>IF($B17&gt;Inputs!$G$17,"",-(E17+F17+G17))</f>
        <v>12431950.253448542</v>
      </c>
    </row>
    <row r="18" spans="2:19">
      <c r="B18" s="151">
        <v>12</v>
      </c>
      <c r="C18" s="152">
        <f>IF($B18&gt;Inputs!$G$17,"",IF($B18&lt;=Inputs!$Q$6,LOOKUP($B18,'Cash Flow'!$F$2:$AJ$2,'Cash Flow'!$F$14:$AJ$14),LOOKUP($B18,'Cash Flow'!$F$2:$AJ$2,'Cash Flow'!$F$16:$AJ$16)))</f>
        <v>18.550000000000008</v>
      </c>
      <c r="D18" s="149">
        <f>IF($B18&gt;Inputs!$G$17,"",LOOKUP($B18,'Cash Flow'!$F$2:$AJ$2,'Cash Flow'!$F$23:$AJ$23))</f>
        <v>19657784.769799232</v>
      </c>
      <c r="E18" s="149">
        <f>IF($B18&gt;Inputs!$G$17,"",LOOKUP($B18,'Cash Flow'!$F$2:$AJ$2,'Cash Flow'!$F$38:$AJ$38))</f>
        <v>-5379888.7782276757</v>
      </c>
      <c r="F18" s="149">
        <f>IF($B18&gt;Inputs!$G$17,"",LOOKUP($B18,'Cash Flow'!$F$2:$AJ$2,'Cash Flow'!$F$88:$AJ$88))</f>
        <v>-7085170.2915028995</v>
      </c>
      <c r="G18" s="149">
        <f>IF($B18&gt;Inputs!$G$17,"",LOOKUP($B18,'Cash Flow'!$F$2:$AJ$2,'Cash Flow'!$F$50:$AJ$50)+LOOKUP($B18,'Cash Flow'!$F$2:$AJ$2,'Cash Flow'!$F$51:$AJ$51))</f>
        <v>0</v>
      </c>
      <c r="H18" s="149">
        <f>IF($B18&gt;Inputs!$G$17,"",SUM(D18:G18))</f>
        <v>7192725.7000686573</v>
      </c>
      <c r="I18" s="149">
        <f>IF($B18&gt;Inputs!$G$17,"",LOOKUP($B18,'Cash Flow'!$F$2:$AJ$2,'Cash Flow'!$F$63:$AJ$63))</f>
        <v>11306488.865989033</v>
      </c>
      <c r="J18" s="149">
        <f>IF($B18&gt;Inputs!$G$17,"",LOOKUP($B18,'Cash Flow'!$F$2:$AJ$2,'Cash Flow'!$F$64:$AJ$64))</f>
        <v>11306488.865989033</v>
      </c>
      <c r="K18" s="149">
        <f>IF($B18&gt;Inputs!$G$17,"",LOOKUP($B18,'Cash Flow'!$F$2:$AJ$2,'Cash Flow'!$F$66:$AJ$66)+LOOKUP($B18,'Cash Flow'!$F$2:$AJ$2,'Cash Flow'!$F$68:$AJ$68))</f>
        <v>-3620903.0593329878</v>
      </c>
      <c r="L18" s="149">
        <f>IF($B18&gt;Inputs!$G$17,"",LOOKUP($B18,'Cash Flow'!$F$2:$AJ$2,'Cash Flow'!$F$67:$AJ$67)+LOOKUP($B18,'Cash Flow'!$F$2:$AJ$2,'Cash Flow'!$F$69:$AJ$69))</f>
        <v>-961051.55360906792</v>
      </c>
      <c r="M18" s="149">
        <f>IF($B18&gt;Inputs!$G$17,"",H18+K18+L18)</f>
        <v>2610771.0871266015</v>
      </c>
      <c r="N18" s="149">
        <f>IF($B18&gt;Inputs!$G$17,N17,N17+M18)</f>
        <v>34300048.9257081</v>
      </c>
      <c r="O18" s="153">
        <f>IF($B18&gt;Inputs!$G$17,"",LOOKUP($B18,'Cash Flow'!$F$2:$AJ$2,'Cash Flow'!$F$71:$AJ$71))</f>
        <v>0.12581434503419664</v>
      </c>
      <c r="P18" s="154">
        <f>IF($B18&gt;Inputs!$G$17,"",LOOKUP($B18,'Cash Flow'!$F$2:$AJ$2,'Cash Flow'!$F$44:$AJ$44))</f>
        <v>2.0151803561722077</v>
      </c>
      <c r="R18" s="327">
        <f>IF($B18&gt;Inputs!$G$17,"",D18+K18+L18)</f>
        <v>15075830.156857178</v>
      </c>
      <c r="S18" s="328">
        <f>IF($B18&gt;Inputs!$G$17,"",-(E18+F18+G18))</f>
        <v>12465059.069730576</v>
      </c>
    </row>
    <row r="19" spans="2:19">
      <c r="B19" s="151">
        <v>13</v>
      </c>
      <c r="C19" s="152">
        <f>IF($B19&gt;Inputs!$G$17,"",IF($B19&lt;=Inputs!$Q$6,LOOKUP($B19,'Cash Flow'!$F$2:$AJ$2,'Cash Flow'!$F$14:$AJ$14),LOOKUP($B19,'Cash Flow'!$F$2:$AJ$2,'Cash Flow'!$F$16:$AJ$16)))</f>
        <v>18.550000000000008</v>
      </c>
      <c r="D19" s="149">
        <f>IF($B19&gt;Inputs!$G$17,"",LOOKUP($B19,'Cash Flow'!$F$2:$AJ$2,'Cash Flow'!$F$23:$AJ$23))</f>
        <v>19070985.879124988</v>
      </c>
      <c r="E19" s="149">
        <f>IF($B19&gt;Inputs!$G$17,"",LOOKUP($B19,'Cash Flow'!$F$2:$AJ$2,'Cash Flow'!$F$38:$AJ$38))</f>
        <v>-5336290.3486402929</v>
      </c>
      <c r="F19" s="149">
        <f>IF($B19&gt;Inputs!$G$17,"",LOOKUP($B19,'Cash Flow'!$F$2:$AJ$2,'Cash Flow'!$F$88:$AJ$88))</f>
        <v>-7085170.2915029004</v>
      </c>
      <c r="G19" s="149">
        <f>IF($B19&gt;Inputs!$G$17,"",LOOKUP($B19,'Cash Flow'!$F$2:$AJ$2,'Cash Flow'!$F$50:$AJ$50)+LOOKUP($B19,'Cash Flow'!$F$2:$AJ$2,'Cash Flow'!$F$51:$AJ$51))</f>
        <v>0</v>
      </c>
      <c r="H19" s="149">
        <f>IF($B19&gt;Inputs!$G$17,"",SUM(D19:G19))</f>
        <v>6649525.2389817946</v>
      </c>
      <c r="I19" s="149">
        <f>IF($B19&gt;Inputs!$G$17,"",LOOKUP($B19,'Cash Flow'!$F$2:$AJ$2,'Cash Flow'!$F$63:$AJ$63))</f>
        <v>11173298.674121425</v>
      </c>
      <c r="J19" s="149">
        <f>IF($B19&gt;Inputs!$G$17,"",LOOKUP($B19,'Cash Flow'!$F$2:$AJ$2,'Cash Flow'!$F$64:$AJ$64))</f>
        <v>11173298.674121425</v>
      </c>
      <c r="K19" s="149">
        <f>IF($B19&gt;Inputs!$G$17,"",LOOKUP($B19,'Cash Flow'!$F$2:$AJ$2,'Cash Flow'!$F$66:$AJ$66)+LOOKUP($B19,'Cash Flow'!$F$2:$AJ$2,'Cash Flow'!$F$68:$AJ$68))</f>
        <v>-3578248.9003873859</v>
      </c>
      <c r="L19" s="149">
        <f>IF($B19&gt;Inputs!$G$17,"",LOOKUP($B19,'Cash Flow'!$F$2:$AJ$2,'Cash Flow'!$F$67:$AJ$67)+LOOKUP($B19,'Cash Flow'!$F$2:$AJ$2,'Cash Flow'!$F$69:$AJ$69))</f>
        <v>-949730.38730032113</v>
      </c>
      <c r="M19" s="149">
        <f>IF($B19&gt;Inputs!$G$17,"",H19+K19+L19)</f>
        <v>2121545.9512940878</v>
      </c>
      <c r="N19" s="149">
        <f>IF($B19&gt;Inputs!$G$17,N18,N18+M19)</f>
        <v>36421594.877002187</v>
      </c>
      <c r="O19" s="153">
        <f>IF($B19&gt;Inputs!$G$17,"",LOOKUP($B19,'Cash Flow'!$F$2:$AJ$2,'Cash Flow'!$F$71:$AJ$71))</f>
        <v>0.12822528248063336</v>
      </c>
      <c r="P19" s="154">
        <f>IF($B19&gt;Inputs!$G$17,"",LOOKUP($B19,'Cash Flow'!$F$2:$AJ$2,'Cash Flow'!$F$44:$AJ$44))</f>
        <v>1.9385131147738868</v>
      </c>
      <c r="R19" s="327">
        <f>IF($B19&gt;Inputs!$G$17,"",D19+K19+L19)</f>
        <v>14543006.59143728</v>
      </c>
      <c r="S19" s="328">
        <f>IF($B19&gt;Inputs!$G$17,"",-(E19+F19+G19))</f>
        <v>12421460.640143193</v>
      </c>
    </row>
    <row r="20" spans="2:19">
      <c r="B20" s="157">
        <v>14</v>
      </c>
      <c r="C20" s="152">
        <f>IF($B20&gt;Inputs!$G$17,"",IF($B20&lt;=Inputs!$Q$6,LOOKUP($B20,'Cash Flow'!$F$2:$AJ$2,'Cash Flow'!$F$14:$AJ$14),LOOKUP($B20,'Cash Flow'!$F$2:$AJ$2,'Cash Flow'!$F$16:$AJ$16)))</f>
        <v>18.550000000000008</v>
      </c>
      <c r="D20" s="149">
        <f>IF($B20&gt;Inputs!$G$17,"",LOOKUP($B20,'Cash Flow'!$F$2:$AJ$2,'Cash Flow'!$F$23:$AJ$23))</f>
        <v>18501790.95517097</v>
      </c>
      <c r="E20" s="149">
        <f>IF($B20&gt;Inputs!$G$17,"",LOOKUP($B20,'Cash Flow'!$F$2:$AJ$2,'Cash Flow'!$F$38:$AJ$38))</f>
        <v>-5293975.9251597282</v>
      </c>
      <c r="F20" s="149">
        <f>IF($B20&gt;Inputs!$G$17,"",LOOKUP($B20,'Cash Flow'!$F$2:$AJ$2,'Cash Flow'!$F$88:$AJ$88))</f>
        <v>-7085170.2915029004</v>
      </c>
      <c r="G20" s="149">
        <f>IF($B20&gt;Inputs!$G$17,"",LOOKUP($B20,'Cash Flow'!$F$2:$AJ$2,'Cash Flow'!$F$50:$AJ$50)+LOOKUP($B20,'Cash Flow'!$F$2:$AJ$2,'Cash Flow'!$F$51:$AJ$51))</f>
        <v>0</v>
      </c>
      <c r="H20" s="149">
        <f>IF($B20&gt;Inputs!$G$17,"",SUM(D20:G20))</f>
        <v>6122644.7385083418</v>
      </c>
      <c r="I20" s="149">
        <f>IF($B20&gt;Inputs!$G$17,"",LOOKUP($B20,'Cash Flow'!$F$2:$AJ$2,'Cash Flow'!$F$63:$AJ$63))</f>
        <v>11082137.907035243</v>
      </c>
      <c r="J20" s="149">
        <f>IF($B20&gt;Inputs!$G$17,"",LOOKUP($B20,'Cash Flow'!$F$2:$AJ$2,'Cash Flow'!$F$64:$AJ$64))</f>
        <v>11082137.907035243</v>
      </c>
      <c r="K20" s="149">
        <f>IF($B20&gt;Inputs!$G$17,"",LOOKUP($B20,'Cash Flow'!$F$2:$AJ$2,'Cash Flow'!$F$66:$AJ$66)+LOOKUP($B20,'Cash Flow'!$F$2:$AJ$2,'Cash Flow'!$F$68:$AJ$68))</f>
        <v>-3549054.6647280362</v>
      </c>
      <c r="L20" s="149">
        <f>IF($B20&gt;Inputs!$G$17,"",LOOKUP($B20,'Cash Flow'!$F$2:$AJ$2,'Cash Flow'!$F$67:$AJ$67)+LOOKUP($B20,'Cash Flow'!$F$2:$AJ$2,'Cash Flow'!$F$69:$AJ$69))</f>
        <v>-941981.72209799569</v>
      </c>
      <c r="M20" s="149">
        <f>IF($B20&gt;Inputs!$G$17,"",H20+K20+L20)</f>
        <v>1631608.35168231</v>
      </c>
      <c r="N20" s="149">
        <f>IF($B20&gt;Inputs!$G$17,N19,N19+M20)</f>
        <v>38053203.2286845</v>
      </c>
      <c r="O20" s="153">
        <f>IF($B20&gt;Inputs!$G$17,"",LOOKUP($B20,'Cash Flow'!$F$2:$AJ$2,'Cash Flow'!$F$71:$AJ$71))</f>
        <v>0.12980944487308799</v>
      </c>
      <c r="P20" s="154">
        <f>IF($B20&gt;Inputs!$G$17,"",LOOKUP($B20,'Cash Flow'!$F$2:$AJ$2,'Cash Flow'!$F$44:$AJ$44))</f>
        <v>1.8641492704629985</v>
      </c>
      <c r="R20" s="327">
        <f>IF($B20&gt;Inputs!$G$17,"",D20+K20+L20)</f>
        <v>14010754.56834494</v>
      </c>
      <c r="S20" s="328">
        <f>IF($B20&gt;Inputs!$G$17,"",-(E20+F20+G20))</f>
        <v>12379146.216662629</v>
      </c>
    </row>
    <row r="21" spans="2:19">
      <c r="B21" s="151">
        <v>15</v>
      </c>
      <c r="C21" s="152">
        <f>IF($B21&gt;Inputs!$G$17,"",IF($B21&lt;=Inputs!$Q$6,LOOKUP($B21,'Cash Flow'!$F$2:$AJ$2,'Cash Flow'!$F$14:$AJ$14),LOOKUP($B21,'Cash Flow'!$F$2:$AJ$2,'Cash Flow'!$F$16:$AJ$16)))</f>
        <v>18.550000000000008</v>
      </c>
      <c r="D21" s="149">
        <f>IF($B21&gt;Inputs!$G$17,"",LOOKUP($B21,'Cash Flow'!$F$2:$AJ$2,'Cash Flow'!$F$23:$AJ$23))</f>
        <v>17949671.878935575</v>
      </c>
      <c r="E21" s="149">
        <f>IF($B21&gt;Inputs!$G$17,"",LOOKUP($B21,'Cash Flow'!$F$2:$AJ$2,'Cash Flow'!$F$38:$AJ$38))</f>
        <v>-5252931.2587285936</v>
      </c>
      <c r="F21" s="149">
        <f>IF($B21&gt;Inputs!$G$17,"",LOOKUP($B21,'Cash Flow'!$F$2:$AJ$2,'Cash Flow'!$F$88:$AJ$88))</f>
        <v>-7085170.2915028995</v>
      </c>
      <c r="G21" s="149">
        <f>IF($B21&gt;Inputs!$G$17,"",LOOKUP($B21,'Cash Flow'!$F$2:$AJ$2,'Cash Flow'!$F$50:$AJ$50)+LOOKUP($B21,'Cash Flow'!$F$2:$AJ$2,'Cash Flow'!$F$51:$AJ$51))</f>
        <v>0</v>
      </c>
      <c r="H21" s="149">
        <f>IF($B21&gt;Inputs!$G$17,"",SUM(D21:G21))</f>
        <v>5611570.3287040824</v>
      </c>
      <c r="I21" s="149">
        <f>IF($B21&gt;Inputs!$G$17,"",LOOKUP($B21,'Cash Flow'!$F$2:$AJ$2,'Cash Flow'!$F$63:$AJ$63))</f>
        <v>11034023.83008009</v>
      </c>
      <c r="J21" s="149">
        <f>IF($B21&gt;Inputs!$G$17,"",LOOKUP($B21,'Cash Flow'!$F$2:$AJ$2,'Cash Flow'!$F$64:$AJ$64))</f>
        <v>11034023.83008009</v>
      </c>
      <c r="K21" s="149">
        <f>IF($B21&gt;Inputs!$G$17,"",LOOKUP($B21,'Cash Flow'!$F$2:$AJ$2,'Cash Flow'!$F$66:$AJ$66)+LOOKUP($B21,'Cash Flow'!$F$2:$AJ$2,'Cash Flow'!$F$68:$AJ$68))</f>
        <v>-3533646.1315831486</v>
      </c>
      <c r="L21" s="149">
        <f>IF($B21&gt;Inputs!$G$17,"",LOOKUP($B21,'Cash Flow'!$F$2:$AJ$2,'Cash Flow'!$F$67:$AJ$67)+LOOKUP($B21,'Cash Flow'!$F$2:$AJ$2,'Cash Flow'!$F$69:$AJ$69))</f>
        <v>-937892.02555680776</v>
      </c>
      <c r="M21" s="149">
        <f>IF($B21&gt;Inputs!$G$17,"",H21+K21+L21)</f>
        <v>1140032.1715641259</v>
      </c>
      <c r="N21" s="149">
        <f>IF($B21&gt;Inputs!$G$17,N20,N20+M21)</f>
        <v>39193235.400248624</v>
      </c>
      <c r="O21" s="153">
        <f>IF($B21&gt;Inputs!$G$17,"",LOOKUP($B21,'Cash Flow'!$F$2:$AJ$2,'Cash Flow'!$F$71:$AJ$71))</f>
        <v>0.13076463428295404</v>
      </c>
      <c r="P21" s="154">
        <f>IF($B21&gt;Inputs!$G$17,"",LOOKUP($B21,'Cash Flow'!$F$2:$AJ$2,'Cash Flow'!$F$44:$AJ$44))</f>
        <v>1.7920162957034249</v>
      </c>
      <c r="R21" s="327">
        <f>IF($B21&gt;Inputs!$G$17,"",D21+K21+L21)</f>
        <v>13478133.721795619</v>
      </c>
      <c r="S21" s="328">
        <f>IF($B21&gt;Inputs!$G$17,"",-(E21+F21+G21))</f>
        <v>12338101.550231494</v>
      </c>
    </row>
    <row r="22" spans="2:19" ht="15">
      <c r="B22" s="151">
        <v>16</v>
      </c>
      <c r="C22" s="152">
        <f>IF($B22&gt;Inputs!$G$17,"",IF($B22&lt;=Inputs!$Q$6,LOOKUP($B22,'Cash Flow'!$F$2:$AJ$2,'Cash Flow'!$F$14:$AJ$14),LOOKUP($B22,'Cash Flow'!$F$2:$AJ$2,'Cash Flow'!$F$16:$AJ$16)))</f>
        <v>18.550000000000008</v>
      </c>
      <c r="D22" s="149">
        <f>IF($B22&gt;Inputs!$G$17,"",LOOKUP($B22,'Cash Flow'!$F$2:$AJ$2,'Cash Flow'!$F$23:$AJ$23))</f>
        <v>17385775.693821225</v>
      </c>
      <c r="E22" s="149">
        <f>IF($B22&gt;Inputs!$G$17,"",LOOKUP($B22,'Cash Flow'!$F$2:$AJ$2,'Cash Flow'!$F$38:$AJ$38))</f>
        <v>-5213142.7508330876</v>
      </c>
      <c r="F22" s="149">
        <f>IF($B22&gt;Inputs!$G$17,"",LOOKUP($B22,'Cash Flow'!$F$2:$AJ$2,'Cash Flow'!$F$88:$AJ$88))</f>
        <v>0</v>
      </c>
      <c r="G22" s="149">
        <f>IF($B22&gt;Inputs!$G$17,"",LOOKUP($B22,'Cash Flow'!$F$2:$AJ$2,'Cash Flow'!$F$50:$AJ$50)+LOOKUP($B22,'Cash Flow'!$F$2:$AJ$2,'Cash Flow'!$F$51:$AJ$51))</f>
        <v>3542585.1457514493</v>
      </c>
      <c r="H22" s="149">
        <f>IF($B22&gt;Inputs!$G$17,"",SUM(D22:G22))</f>
        <v>15715218.088739589</v>
      </c>
      <c r="I22" s="149">
        <f>IF($B22&gt;Inputs!$G$17,"",LOOKUP($B22,'Cash Flow'!$F$2:$AJ$2,'Cash Flow'!$F$63:$AJ$63))</f>
        <v>11029885.163739994</v>
      </c>
      <c r="J22" s="149">
        <f>IF($B22&gt;Inputs!$G$17,"",LOOKUP($B22,'Cash Flow'!$F$2:$AJ$2,'Cash Flow'!$F$64:$AJ$64))</f>
        <v>11029885.163739994</v>
      </c>
      <c r="K22" s="149">
        <f>IF($B22&gt;Inputs!$G$17,"",LOOKUP($B22,'Cash Flow'!$F$2:$AJ$2,'Cash Flow'!$F$66:$AJ$66)+LOOKUP($B22,'Cash Flow'!$F$2:$AJ$2,'Cash Flow'!$F$68:$AJ$68))</f>
        <v>-3532320.7236877326</v>
      </c>
      <c r="L22" s="149">
        <f>IF($B22&gt;Inputs!$G$17,"",LOOKUP($B22,'Cash Flow'!$F$2:$AJ$2,'Cash Flow'!$F$67:$AJ$67)+LOOKUP($B22,'Cash Flow'!$F$2:$AJ$2,'Cash Flow'!$F$69:$AJ$69))</f>
        <v>-937540.23891789955</v>
      </c>
      <c r="M22" s="149">
        <f>IF($B22&gt;Inputs!$G$17,"",H22+K22+L22)</f>
        <v>11245357.126133956</v>
      </c>
      <c r="N22" s="149">
        <f>IF($B22&gt;Inputs!$G$17,N21,N21+M22)</f>
        <v>50438592.52638258</v>
      </c>
      <c r="O22" s="153">
        <f>IF($B22&gt;Inputs!$G$17,"",LOOKUP($B22,'Cash Flow'!$F$2:$AJ$2,'Cash Flow'!$F$71:$AJ$71))</f>
        <v>0.13833544108065965</v>
      </c>
      <c r="P22" s="154" t="str">
        <f>IF($B22&gt;Inputs!$G$17,"",LOOKUP($B22,'Cash Flow'!$F$2:$AJ$2,'Cash Flow'!$F$44:$AJ$44))</f>
        <v>N/A</v>
      </c>
      <c r="R22" s="327">
        <f>IF($B22&gt;Inputs!$G$17,"",D22+K22+L22)</f>
        <v>12915914.731215592</v>
      </c>
      <c r="S22" s="328">
        <f>IF($B22&gt;Inputs!$G$17,"",-(E22+F22+G22))</f>
        <v>1670557.6050816383</v>
      </c>
    </row>
    <row r="23" spans="2:19" ht="15">
      <c r="B23" s="157">
        <v>17</v>
      </c>
      <c r="C23" s="152">
        <f>IF($B23&gt;Inputs!$G$17,"",IF($B23&lt;=Inputs!$Q$6,LOOKUP($B23,'Cash Flow'!$F$2:$AJ$2,'Cash Flow'!$F$14:$AJ$14),LOOKUP($B23,'Cash Flow'!$F$2:$AJ$2,'Cash Flow'!$F$16:$AJ$16)))</f>
        <v>18.550000000000008</v>
      </c>
      <c r="D23" s="149">
        <f>IF($B23&gt;Inputs!$G$17,"",LOOKUP($B23,'Cash Flow'!$F$2:$AJ$2,'Cash Flow'!$F$23:$AJ$23))</f>
        <v>16837946.173825331</v>
      </c>
      <c r="E23" s="149">
        <f>IF($B23&gt;Inputs!$G$17,"",LOOKUP($B23,'Cash Flow'!$F$2:$AJ$2,'Cash Flow'!$F$38:$AJ$38))</f>
        <v>-5174597.4412290454</v>
      </c>
      <c r="F23" s="149">
        <f>IF($B23&gt;Inputs!$G$17,"",LOOKUP($B23,'Cash Flow'!$F$2:$AJ$2,'Cash Flow'!$F$88:$AJ$88))</f>
        <v>0</v>
      </c>
      <c r="G23" s="149">
        <f>IF($B23&gt;Inputs!$G$17,"",LOOKUP($B23,'Cash Flow'!$F$2:$AJ$2,'Cash Flow'!$F$50:$AJ$50)+LOOKUP($B23,'Cash Flow'!$F$2:$AJ$2,'Cash Flow'!$F$51:$AJ$51))</f>
        <v>0</v>
      </c>
      <c r="H23" s="149">
        <f>IF($B23&gt;Inputs!$G$17,"",SUM(D23:G23))</f>
        <v>11663348.732596286</v>
      </c>
      <c r="I23" s="149">
        <f>IF($B23&gt;Inputs!$G$17,"",LOOKUP($B23,'Cash Flow'!$F$2:$AJ$2,'Cash Flow'!$F$63:$AJ$63))</f>
        <v>10576097.490618818</v>
      </c>
      <c r="J23" s="149">
        <f>IF($B23&gt;Inputs!$G$17,"",LOOKUP($B23,'Cash Flow'!$F$2:$AJ$2,'Cash Flow'!$F$64:$AJ$64))</f>
        <v>10576097.490618818</v>
      </c>
      <c r="K23" s="149">
        <f>IF($B23&gt;Inputs!$G$17,"",LOOKUP($B23,'Cash Flow'!$F$2:$AJ$2,'Cash Flow'!$F$66:$AJ$66)+LOOKUP($B23,'Cash Flow'!$F$2:$AJ$2,'Cash Flow'!$F$68:$AJ$68))</f>
        <v>-3386995.2213706761</v>
      </c>
      <c r="L23" s="149">
        <f>IF($B23&gt;Inputs!$G$17,"",LOOKUP($B23,'Cash Flow'!$F$2:$AJ$2,'Cash Flow'!$F$67:$AJ$67)+LOOKUP($B23,'Cash Flow'!$F$2:$AJ$2,'Cash Flow'!$F$69:$AJ$69))</f>
        <v>-898968.28670259961</v>
      </c>
      <c r="M23" s="149">
        <f>IF($B23&gt;Inputs!$G$17,"",H23+K23+L23)</f>
        <v>7377385.2245230097</v>
      </c>
      <c r="N23" s="149">
        <f>IF($B23&gt;Inputs!$G$17,N22,N22+M23)</f>
        <v>57815977.750905588</v>
      </c>
      <c r="O23" s="153">
        <f>IF($B23&gt;Inputs!$G$17,"",LOOKUP($B23,'Cash Flow'!$F$2:$AJ$2,'Cash Flow'!$F$71:$AJ$71))</f>
        <v>0.14217697691680664</v>
      </c>
      <c r="P23" s="154" t="str">
        <f>IF($B23&gt;Inputs!$G$17,"",LOOKUP($B23,'Cash Flow'!$F$2:$AJ$2,'Cash Flow'!$F$44:$AJ$44))</f>
        <v>N/A</v>
      </c>
      <c r="R23" s="327">
        <f>IF($B23&gt;Inputs!$G$17,"",D23+K23+L23)</f>
        <v>12551982.665752055</v>
      </c>
      <c r="S23" s="328">
        <f>IF($B23&gt;Inputs!$G$17,"",-(E23+F23+G23))</f>
        <v>5174597.4412290454</v>
      </c>
    </row>
    <row r="24" spans="2:19" ht="15">
      <c r="B24" s="151">
        <v>18</v>
      </c>
      <c r="C24" s="152">
        <f>IF($B24&gt;Inputs!$G$17,"",IF($B24&lt;=Inputs!$Q$6,LOOKUP($B24,'Cash Flow'!$F$2:$AJ$2,'Cash Flow'!$F$14:$AJ$14),LOOKUP($B24,'Cash Flow'!$F$2:$AJ$2,'Cash Flow'!$F$16:$AJ$16)))</f>
        <v>18.550000000000008</v>
      </c>
      <c r="D24" s="149">
        <f>IF($B24&gt;Inputs!$G$17,"",LOOKUP($B24,'Cash Flow'!$F$2:$AJ$2,'Cash Flow'!$F$23:$AJ$23))</f>
        <v>16334042.000160348</v>
      </c>
      <c r="E24" s="149">
        <f>IF($B24&gt;Inputs!$G$17,"",LOOKUP($B24,'Cash Flow'!$F$2:$AJ$2,'Cash Flow'!$F$38:$AJ$38))</f>
        <v>-5137282.9961515656</v>
      </c>
      <c r="F24" s="149">
        <f>IF($B24&gt;Inputs!$G$17,"",LOOKUP($B24,'Cash Flow'!$F$2:$AJ$2,'Cash Flow'!$F$88:$AJ$88))</f>
        <v>0</v>
      </c>
      <c r="G24" s="149">
        <f>IF($B24&gt;Inputs!$G$17,"",LOOKUP($B24,'Cash Flow'!$F$2:$AJ$2,'Cash Flow'!$F$50:$AJ$50)+LOOKUP($B24,'Cash Flow'!$F$2:$AJ$2,'Cash Flow'!$F$51:$AJ$51))</f>
        <v>0</v>
      </c>
      <c r="H24" s="149">
        <f>IF($B24&gt;Inputs!$G$17,"",SUM(D24:G24))</f>
        <v>11196759.004008781</v>
      </c>
      <c r="I24" s="149">
        <f>IF($B24&gt;Inputs!$G$17,"",LOOKUP($B24,'Cash Flow'!$F$2:$AJ$2,'Cash Flow'!$F$63:$AJ$63))</f>
        <v>10136756.380222248</v>
      </c>
      <c r="J24" s="149">
        <f>IF($B24&gt;Inputs!$G$17,"",LOOKUP($B24,'Cash Flow'!$F$2:$AJ$2,'Cash Flow'!$F$64:$AJ$64))</f>
        <v>10136756.380222248</v>
      </c>
      <c r="K24" s="149">
        <f>IF($B24&gt;Inputs!$G$17,"",LOOKUP($B24,'Cash Flow'!$F$2:$AJ$2,'Cash Flow'!$F$66:$AJ$66)+LOOKUP($B24,'Cash Flow'!$F$2:$AJ$2,'Cash Flow'!$F$68:$AJ$68))</f>
        <v>-3246296.2307661744</v>
      </c>
      <c r="L24" s="149">
        <f>IF($B24&gt;Inputs!$G$17,"",LOOKUP($B24,'Cash Flow'!$F$2:$AJ$2,'Cash Flow'!$F$67:$AJ$67)+LOOKUP($B24,'Cash Flow'!$F$2:$AJ$2,'Cash Flow'!$F$69:$AJ$69))</f>
        <v>-861624.29231889115</v>
      </c>
      <c r="M24" s="149">
        <f>IF($B24&gt;Inputs!$G$17,"",H24+K24+L24)</f>
        <v>7088838.480923716</v>
      </c>
      <c r="N24" s="149">
        <f>IF($B24&gt;Inputs!$G$17,N23,N23+M24)</f>
        <v>64904816.231829301</v>
      </c>
      <c r="O24" s="153">
        <f>IF($B24&gt;Inputs!$G$17,"",LOOKUP($B24,'Cash Flow'!$F$2:$AJ$2,'Cash Flow'!$F$71:$AJ$71))</f>
        <v>0.14515766857686718</v>
      </c>
      <c r="P24" s="154" t="str">
        <f>IF($B24&gt;Inputs!$G$17,"",LOOKUP($B24,'Cash Flow'!$F$2:$AJ$2,'Cash Flow'!$F$44:$AJ$44))</f>
        <v>N/A</v>
      </c>
      <c r="R24" s="327">
        <f>IF($B24&gt;Inputs!$G$17,"",D24+K24+L24)</f>
        <v>12226121.477075282</v>
      </c>
      <c r="S24" s="328">
        <f>IF($B24&gt;Inputs!$G$17,"",-(E24+F24+G24))</f>
        <v>5137282.9961515656</v>
      </c>
    </row>
    <row r="25" spans="2:19" ht="15">
      <c r="B25" s="151">
        <v>19</v>
      </c>
      <c r="C25" s="152">
        <f>IF($B25&gt;Inputs!$G$17,"",IF($B25&lt;=Inputs!$Q$6,LOOKUP($B25,'Cash Flow'!$F$2:$AJ$2,'Cash Flow'!$F$14:$AJ$14),LOOKUP($B25,'Cash Flow'!$F$2:$AJ$2,'Cash Flow'!$F$16:$AJ$16)))</f>
        <v>18.550000000000008</v>
      </c>
      <c r="D25" s="149">
        <f>IF($B25&gt;Inputs!$G$17,"",LOOKUP($B25,'Cash Flow'!$F$2:$AJ$2,'Cash Flow'!$F$23:$AJ$23))</f>
        <v>15845254.951705309</v>
      </c>
      <c r="E25" s="149">
        <f>IF($B25&gt;Inputs!$G$17,"",LOOKUP($B25,'Cash Flow'!$F$2:$AJ$2,'Cash Flow'!$F$38:$AJ$38))</f>
        <v>-5101187.6969963536</v>
      </c>
      <c r="F25" s="149">
        <f>IF($B25&gt;Inputs!$G$17,"",LOOKUP($B25,'Cash Flow'!$F$2:$AJ$2,'Cash Flow'!$F$88:$AJ$88))</f>
        <v>0</v>
      </c>
      <c r="G25" s="149">
        <f>IF($B25&gt;Inputs!$G$17,"",LOOKUP($B25,'Cash Flow'!$F$2:$AJ$2,'Cash Flow'!$F$50:$AJ$50)+LOOKUP($B25,'Cash Flow'!$F$2:$AJ$2,'Cash Flow'!$F$51:$AJ$51))</f>
        <v>0</v>
      </c>
      <c r="H25" s="149">
        <f>IF($B25&gt;Inputs!$G$17,"",SUM(D25:G25))</f>
        <v>10744067.254708955</v>
      </c>
      <c r="I25" s="149">
        <f>IF($B25&gt;Inputs!$G$17,"",LOOKUP($B25,'Cash Flow'!$F$2:$AJ$2,'Cash Flow'!$F$63:$AJ$63))</f>
        <v>9710495.7905676272</v>
      </c>
      <c r="J25" s="149">
        <f>IF($B25&gt;Inputs!$G$17,"",LOOKUP($B25,'Cash Flow'!$F$2:$AJ$2,'Cash Flow'!$F$64:$AJ$64))</f>
        <v>9710495.7905676272</v>
      </c>
      <c r="K25" s="149">
        <f>IF($B25&gt;Inputs!$G$17,"",LOOKUP($B25,'Cash Flow'!$F$2:$AJ$2,'Cash Flow'!$F$66:$AJ$66)+LOOKUP($B25,'Cash Flow'!$F$2:$AJ$2,'Cash Flow'!$F$68:$AJ$68))</f>
        <v>-3109786.2769292826</v>
      </c>
      <c r="L25" s="149">
        <f>IF($B25&gt;Inputs!$G$17,"",LOOKUP($B25,'Cash Flow'!$F$2:$AJ$2,'Cash Flow'!$F$67:$AJ$67)+LOOKUP($B25,'Cash Flow'!$F$2:$AJ$2,'Cash Flow'!$F$69:$AJ$69))</f>
        <v>-825392.14219824842</v>
      </c>
      <c r="M25" s="149">
        <f>IF($B25&gt;Inputs!$G$17,"",H25+K25+L25)</f>
        <v>6808888.8355814237</v>
      </c>
      <c r="N25" s="149">
        <f>IF($B25&gt;Inputs!$G$17,N24,N24+M25)</f>
        <v>71713705.067410722</v>
      </c>
      <c r="O25" s="153">
        <f>IF($B25&gt;Inputs!$G$17,"",LOOKUP($B25,'Cash Flow'!$F$2:$AJ$2,'Cash Flow'!$F$71:$AJ$71))</f>
        <v>0.14749678730623761</v>
      </c>
      <c r="P25" s="154" t="str">
        <f>IF($B25&gt;Inputs!$G$17,"",LOOKUP($B25,'Cash Flow'!$F$2:$AJ$2,'Cash Flow'!$F$44:$AJ$44))</f>
        <v>N/A</v>
      </c>
      <c r="R25" s="327">
        <f>IF($B25&gt;Inputs!$G$17,"",D25+K25+L25)</f>
        <v>11910076.532577777</v>
      </c>
      <c r="S25" s="328">
        <f>IF($B25&gt;Inputs!$G$17,"",-(E25+F25+G25))</f>
        <v>5101187.6969963536</v>
      </c>
    </row>
    <row r="26" spans="2:19" ht="15">
      <c r="B26" s="157">
        <v>20</v>
      </c>
      <c r="C26" s="152">
        <f>IF($B26&gt;Inputs!$G$17,"",IF($B26&lt;=Inputs!$Q$6,LOOKUP($B26,'Cash Flow'!$F$2:$AJ$2,'Cash Flow'!$F$14:$AJ$14),LOOKUP($B26,'Cash Flow'!$F$2:$AJ$2,'Cash Flow'!$F$16:$AJ$16)))</f>
        <v>18.550000000000008</v>
      </c>
      <c r="D26" s="149">
        <f>IF($B26&gt;Inputs!$G$17,"",LOOKUP($B26,'Cash Flow'!$F$2:$AJ$2,'Cash Flow'!$F$23:$AJ$23))</f>
        <v>17423737.830493394</v>
      </c>
      <c r="E26" s="149">
        <f>IF($B26&gt;Inputs!$G$17,"",LOOKUP($B26,'Cash Flow'!$F$2:$AJ$2,'Cash Flow'!$F$38:$AJ$38))</f>
        <v>-5611478.5887963912</v>
      </c>
      <c r="F26" s="149">
        <f>IF($B26&gt;Inputs!$G$17,"",LOOKUP($B26,'Cash Flow'!$F$2:$AJ$2,'Cash Flow'!$F$88:$AJ$88))</f>
        <v>0</v>
      </c>
      <c r="G26" s="149">
        <f>IF($B26&gt;Inputs!$G$17,"",LOOKUP($B26,'Cash Flow'!$F$2:$AJ$2,'Cash Flow'!$F$50:$AJ$50)+LOOKUP($B26,'Cash Flow'!$F$2:$AJ$2,'Cash Flow'!$F$51:$AJ$51))</f>
        <v>0</v>
      </c>
      <c r="H26" s="149">
        <f>IF($B26&gt;Inputs!$G$17,"",SUM(D26:G26))</f>
        <v>11812259.241697002</v>
      </c>
      <c r="I26" s="149">
        <f>IF($B26&gt;Inputs!$G$17,"",LOOKUP($B26,'Cash Flow'!$F$2:$AJ$2,'Cash Flow'!$F$63:$AJ$63))</f>
        <v>10693331.315885209</v>
      </c>
      <c r="J26" s="149">
        <f>IF($B26&gt;Inputs!$G$17,"",LOOKUP($B26,'Cash Flow'!$F$2:$AJ$2,'Cash Flow'!$F$64:$AJ$64))</f>
        <v>10693331.315885209</v>
      </c>
      <c r="K26" s="149">
        <f>IF($B26&gt;Inputs!$G$17,"",LOOKUP($B26,'Cash Flow'!$F$2:$AJ$2,'Cash Flow'!$F$66:$AJ$66)+LOOKUP($B26,'Cash Flow'!$F$2:$AJ$2,'Cash Flow'!$F$68:$AJ$68))</f>
        <v>-3424539.353912238</v>
      </c>
      <c r="L26" s="149">
        <f>IF($B26&gt;Inputs!$G$17,"",LOOKUP($B26,'Cash Flow'!$F$2:$AJ$2,'Cash Flow'!$F$67:$AJ$67)+LOOKUP($B26,'Cash Flow'!$F$2:$AJ$2,'Cash Flow'!$F$69:$AJ$69))</f>
        <v>-908933.16185024276</v>
      </c>
      <c r="M26" s="149">
        <f>IF($B26&gt;Inputs!$G$17,"",H26+K26+L26)</f>
        <v>7478786.7259345213</v>
      </c>
      <c r="N26" s="149">
        <f>IF($B26&gt;Inputs!$G$17,N25,N25+M26)</f>
        <v>79192491.793345243</v>
      </c>
      <c r="O26" s="153">
        <f>IF($B26&gt;Inputs!$G$17,"",LOOKUP($B26,'Cash Flow'!$F$2:$AJ$2,'Cash Flow'!$F$71:$AJ$71))</f>
        <v>0.1496078751322043</v>
      </c>
      <c r="P26" s="154" t="str">
        <f>IF($B26&gt;Inputs!$G$17,"",LOOKUP($B26,'Cash Flow'!$F$2:$AJ$2,'Cash Flow'!$F$44:$AJ$44))</f>
        <v>N/A</v>
      </c>
      <c r="R26" s="327">
        <f>IF($B26&gt;Inputs!$G$17,"",D26+K26+L26)</f>
        <v>13090265.314730914</v>
      </c>
      <c r="S26" s="328">
        <f>IF($B26&gt;Inputs!$G$17,"",-(E26+F26+G26))</f>
        <v>5611478.5887963912</v>
      </c>
    </row>
    <row r="27" spans="2:19" ht="15">
      <c r="B27" s="151">
        <v>21</v>
      </c>
      <c r="C27" s="152">
        <f>IF($B27&gt;Inputs!$G$17,"",IF($B27&lt;=Inputs!$Q$6,LOOKUP($B27,'Cash Flow'!$F$2:$AJ$2,'Cash Flow'!$F$14:$AJ$14),LOOKUP($B27,'Cash Flow'!$F$2:$AJ$2,'Cash Flow'!$F$16:$AJ$16)))</f>
        <v>5.9437895839134196</v>
      </c>
      <c r="D27" s="149">
        <f>IF($B27&gt;Inputs!$G$17,"",LOOKUP($B27,'Cash Flow'!$F$2:$AJ$2,'Cash Flow'!$F$23:$AJ$23))</f>
        <v>5443779.0151159232</v>
      </c>
      <c r="E27" s="149">
        <f>IF($B27&gt;Inputs!$G$17,"",LOOKUP($B27,'Cash Flow'!$F$2:$AJ$2,'Cash Flow'!$F$38:$AJ$38))</f>
        <v>-5227060.9003470149</v>
      </c>
      <c r="F27" s="149">
        <f>IF($B27&gt;Inputs!$G$17,"",LOOKUP($B27,'Cash Flow'!$F$2:$AJ$2,'Cash Flow'!$F$88:$AJ$88))</f>
        <v>0</v>
      </c>
      <c r="G27" s="149">
        <f>IF($B27&gt;Inputs!$G$17,"",LOOKUP($B27,'Cash Flow'!$F$2:$AJ$2,'Cash Flow'!$F$50:$AJ$50)+LOOKUP($B27,'Cash Flow'!$F$2:$AJ$2,'Cash Flow'!$F$51:$AJ$51))</f>
        <v>0</v>
      </c>
      <c r="H27" s="149">
        <f>IF($B27&gt;Inputs!$G$17,"",SUM(D27:G27))</f>
        <v>216718.11476890836</v>
      </c>
      <c r="I27" s="149">
        <f>IF($B27&gt;Inputs!$G$17,"",LOOKUP($B27,'Cash Flow'!$F$2:$AJ$2,'Cash Flow'!$F$63:$AJ$63))</f>
        <v>64158.032700897602</v>
      </c>
      <c r="J27" s="149">
        <f>IF($B27&gt;Inputs!$G$17,"",LOOKUP($B27,'Cash Flow'!$F$2:$AJ$2,'Cash Flow'!$F$64:$AJ$64))</f>
        <v>64158.032700897602</v>
      </c>
      <c r="K27" s="149">
        <f>IF($B27&gt;Inputs!$G$17,"",LOOKUP($B27,'Cash Flow'!$F$2:$AJ$2,'Cash Flow'!$F$66:$AJ$66)+LOOKUP($B27,'Cash Flow'!$F$2:$AJ$2,'Cash Flow'!$F$68:$AJ$68))</f>
        <v>-20546.609972462455</v>
      </c>
      <c r="L27" s="149">
        <f>IF($B27&gt;Inputs!$G$17,"",LOOKUP($B27,'Cash Flow'!$F$2:$AJ$2,'Cash Flow'!$F$67:$AJ$67)+LOOKUP($B27,'Cash Flow'!$F$2:$AJ$2,'Cash Flow'!$F$69:$AJ$69))</f>
        <v>-5453.4327795762965</v>
      </c>
      <c r="M27" s="149">
        <f>IF($B27&gt;Inputs!$G$17,"",H27+K27+L27)</f>
        <v>190718.07201686958</v>
      </c>
      <c r="N27" s="149">
        <f>IF($B27&gt;Inputs!$G$17,N26,N26+M27)</f>
        <v>79383209.865362108</v>
      </c>
      <c r="O27" s="153">
        <f>IF($B27&gt;Inputs!$G$17,"",LOOKUP($B27,'Cash Flow'!$F$2:$AJ$2,'Cash Flow'!$F$71:$AJ$71))</f>
        <v>0.14965336028922871</v>
      </c>
      <c r="P27" s="154" t="str">
        <f>IF($B27&gt;Inputs!$G$17,"",LOOKUP($B27,'Cash Flow'!$F$2:$AJ$2,'Cash Flow'!$F$44:$AJ$44))</f>
        <v>N/A</v>
      </c>
      <c r="R27" s="327">
        <f>IF($B27&gt;Inputs!$G$17,"",D27+K27+L27)</f>
        <v>5417778.9723638846</v>
      </c>
      <c r="S27" s="328">
        <f>IF($B27&gt;Inputs!$G$17,"",-(E27+F27+G27))</f>
        <v>5227060.9003470149</v>
      </c>
    </row>
    <row r="28" spans="2:19" ht="15">
      <c r="B28" s="151">
        <v>22</v>
      </c>
      <c r="C28" s="152">
        <f>IF($B28&gt;Inputs!$G$17,"",IF($B28&lt;=Inputs!$Q$6,LOOKUP($B28,'Cash Flow'!$F$2:$AJ$2,'Cash Flow'!$F$14:$AJ$14),LOOKUP($B28,'Cash Flow'!$F$2:$AJ$2,'Cash Flow'!$F$16:$AJ$16)))</f>
        <v>6.0626653755916884</v>
      </c>
      <c r="D28" s="149">
        <f>IF($B28&gt;Inputs!$G$17,"",LOOKUP($B28,'Cash Flow'!$F$2:$AJ$2,'Cash Flow'!$F$23:$AJ$23))</f>
        <v>5386511.0456366139</v>
      </c>
      <c r="E28" s="149">
        <f>IF($B28&gt;Inputs!$G$17,"",LOOKUP($B28,'Cash Flow'!$F$2:$AJ$2,'Cash Flow'!$F$38:$AJ$38))</f>
        <v>-5201151.9395301687</v>
      </c>
      <c r="F28" s="149">
        <f>IF($B28&gt;Inputs!$G$17,"",LOOKUP($B28,'Cash Flow'!$F$2:$AJ$2,'Cash Flow'!$F$88:$AJ$88))</f>
        <v>0</v>
      </c>
      <c r="G28" s="149">
        <f>IF($B28&gt;Inputs!$G$17,"",LOOKUP($B28,'Cash Flow'!$F$2:$AJ$2,'Cash Flow'!$F$50:$AJ$50)+LOOKUP($B28,'Cash Flow'!$F$2:$AJ$2,'Cash Flow'!$F$51:$AJ$51))</f>
        <v>0</v>
      </c>
      <c r="H28" s="149">
        <f>IF($B28&gt;Inputs!$G$17,"",SUM(D28:G28))</f>
        <v>185359.10610644519</v>
      </c>
      <c r="I28" s="149">
        <f>IF($B28&gt;Inputs!$G$17,"",LOOKUP($B28,'Cash Flow'!$F$2:$AJ$2,'Cash Flow'!$F$63:$AJ$63))</f>
        <v>92679.553053222597</v>
      </c>
      <c r="J28" s="149">
        <f>IF($B28&gt;Inputs!$G$17,"",LOOKUP($B28,'Cash Flow'!$F$2:$AJ$2,'Cash Flow'!$F$64:$AJ$64))</f>
        <v>92679.553053222597</v>
      </c>
      <c r="K28" s="149">
        <f>IF($B28&gt;Inputs!$G$17,"",LOOKUP($B28,'Cash Flow'!$F$2:$AJ$2,'Cash Flow'!$F$66:$AJ$66)+LOOKUP($B28,'Cash Flow'!$F$2:$AJ$2,'Cash Flow'!$F$68:$AJ$68))</f>
        <v>-29680.626865294533</v>
      </c>
      <c r="L28" s="149">
        <f>IF($B28&gt;Inputs!$G$17,"",LOOKUP($B28,'Cash Flow'!$F$2:$AJ$2,'Cash Flow'!$F$67:$AJ$67)+LOOKUP($B28,'Cash Flow'!$F$2:$AJ$2,'Cash Flow'!$F$69:$AJ$69))</f>
        <v>-7877.7620095239217</v>
      </c>
      <c r="M28" s="149">
        <f>IF($B28&gt;Inputs!$G$17,"",H28+K28+L28)</f>
        <v>147800.71723162674</v>
      </c>
      <c r="N28" s="149">
        <f>IF($B28&gt;Inputs!$G$17,N27,N27+M28)</f>
        <v>79531010.582593739</v>
      </c>
      <c r="O28" s="153">
        <f>IF($B28&gt;Inputs!$G$17,"",LOOKUP($B28,'Cash Flow'!$F$2:$AJ$2,'Cash Flow'!$F$71:$AJ$71))</f>
        <v>0.14968398707852537</v>
      </c>
      <c r="P28" s="154" t="str">
        <f>IF($B28&gt;Inputs!$G$17,"",LOOKUP($B28,'Cash Flow'!$F$2:$AJ$2,'Cash Flow'!$F$44:$AJ$44))</f>
        <v>N/A</v>
      </c>
      <c r="R28" s="327">
        <f>IF($B28&gt;Inputs!$G$17,"",D28+K28+L28)</f>
        <v>5348952.6567617953</v>
      </c>
      <c r="S28" s="328">
        <f>IF($B28&gt;Inputs!$G$17,"",-(E28+F28+G28))</f>
        <v>5201151.9395301687</v>
      </c>
    </row>
    <row r="29" spans="2:19" ht="15">
      <c r="B29" s="157">
        <v>23</v>
      </c>
      <c r="C29" s="152">
        <f>IF($B29&gt;Inputs!$G$17,"",IF($B29&lt;=Inputs!$Q$6,LOOKUP($B29,'Cash Flow'!$F$2:$AJ$2,'Cash Flow'!$F$14:$AJ$14),LOOKUP($B29,'Cash Flow'!$F$2:$AJ$2,'Cash Flow'!$F$16:$AJ$16)))</f>
        <v>6.1839186831035224</v>
      </c>
      <c r="D29" s="149">
        <f>IF($B29&gt;Inputs!$G$17,"",LOOKUP($B29,'Cash Flow'!$F$2:$AJ$2,'Cash Flow'!$F$23:$AJ$23))</f>
        <v>5329850.116633785</v>
      </c>
      <c r="E29" s="149">
        <f>IF($B29&gt;Inputs!$G$17,"",LOOKUP($B29,'Cash Flow'!$F$2:$AJ$2,'Cash Flow'!$F$38:$AJ$38))</f>
        <v>-5176091.6713925172</v>
      </c>
      <c r="F29" s="149">
        <f>IF($B29&gt;Inputs!$G$17,"",LOOKUP($B29,'Cash Flow'!$F$2:$AJ$2,'Cash Flow'!$F$88:$AJ$88))</f>
        <v>0</v>
      </c>
      <c r="G29" s="149">
        <f>IF($B29&gt;Inputs!$G$17,"",LOOKUP($B29,'Cash Flow'!$F$2:$AJ$2,'Cash Flow'!$F$50:$AJ$50)+LOOKUP($B29,'Cash Flow'!$F$2:$AJ$2,'Cash Flow'!$F$51:$AJ$51))</f>
        <v>0</v>
      </c>
      <c r="H29" s="149">
        <f>IF($B29&gt;Inputs!$G$17,"",SUM(D29:G29))</f>
        <v>153758.44524126779</v>
      </c>
      <c r="I29" s="149">
        <f>IF($B29&gt;Inputs!$G$17,"",LOOKUP($B29,'Cash Flow'!$F$2:$AJ$2,'Cash Flow'!$F$63:$AJ$63))</f>
        <v>76879.222620633896</v>
      </c>
      <c r="J29" s="149">
        <f>IF($B29&gt;Inputs!$G$17,"",LOOKUP($B29,'Cash Flow'!$F$2:$AJ$2,'Cash Flow'!$F$64:$AJ$64))</f>
        <v>76879.222620633896</v>
      </c>
      <c r="K29" s="149">
        <f>IF($B29&gt;Inputs!$G$17,"",LOOKUP($B29,'Cash Flow'!$F$2:$AJ$2,'Cash Flow'!$F$66:$AJ$66)+LOOKUP($B29,'Cash Flow'!$F$2:$AJ$2,'Cash Flow'!$F$68:$AJ$68))</f>
        <v>-24620.571044258006</v>
      </c>
      <c r="L29" s="149">
        <f>IF($B29&gt;Inputs!$G$17,"",LOOKUP($B29,'Cash Flow'!$F$2:$AJ$2,'Cash Flow'!$F$67:$AJ$67)+LOOKUP($B29,'Cash Flow'!$F$2:$AJ$2,'Cash Flow'!$F$69:$AJ$69))</f>
        <v>-6534.7339227538814</v>
      </c>
      <c r="M29" s="149">
        <f>IF($B29&gt;Inputs!$G$17,"",H29+K29+L29)</f>
        <v>122603.14027425591</v>
      </c>
      <c r="N29" s="149">
        <f>IF($B29&gt;Inputs!$G$17,N28,N28+M29)</f>
        <v>79653613.722867996</v>
      </c>
      <c r="O29" s="153">
        <f>IF($B29&gt;Inputs!$G$17,"",LOOKUP($B29,'Cash Flow'!$F$2:$AJ$2,'Cash Flow'!$F$71:$AJ$71))</f>
        <v>0.14970606668497632</v>
      </c>
      <c r="P29" s="154" t="str">
        <f>IF($B29&gt;Inputs!$G$17,"",LOOKUP($B29,'Cash Flow'!$F$2:$AJ$2,'Cash Flow'!$F$44:$AJ$44))</f>
        <v>N/A</v>
      </c>
      <c r="R29" s="327">
        <f>IF($B29&gt;Inputs!$G$17,"",D29+K29+L29)</f>
        <v>5298694.8116667736</v>
      </c>
      <c r="S29" s="328">
        <f>IF($B29&gt;Inputs!$G$17,"",-(E29+F29+G29))</f>
        <v>5176091.6713925172</v>
      </c>
    </row>
    <row r="30" spans="2:19" ht="15">
      <c r="B30" s="151">
        <v>24</v>
      </c>
      <c r="C30" s="152">
        <f>IF($B30&gt;Inputs!$G$17,"",IF($B30&lt;=Inputs!$Q$6,LOOKUP($B30,'Cash Flow'!$F$2:$AJ$2,'Cash Flow'!$F$14:$AJ$14),LOOKUP($B30,'Cash Flow'!$F$2:$AJ$2,'Cash Flow'!$F$16:$AJ$16)))</f>
        <v>6.3075970567655926</v>
      </c>
      <c r="D30" s="149">
        <f>IF($B30&gt;Inputs!$G$17,"",LOOKUP($B30,'Cash Flow'!$F$2:$AJ$2,'Cash Flow'!$F$23:$AJ$23))</f>
        <v>5273789.7934783865</v>
      </c>
      <c r="E30" s="149">
        <f>IF($B30&gt;Inputs!$G$17,"",LOOKUP($B30,'Cash Flow'!$F$2:$AJ$2,'Cash Flow'!$F$38:$AJ$38))</f>
        <v>-5151882.5809455505</v>
      </c>
      <c r="F30" s="149">
        <f>IF($B30&gt;Inputs!$G$17,"",LOOKUP($B30,'Cash Flow'!$F$2:$AJ$2,'Cash Flow'!$F$88:$AJ$88))</f>
        <v>0</v>
      </c>
      <c r="G30" s="149">
        <f>IF($B30&gt;Inputs!$G$17,"",LOOKUP($B30,'Cash Flow'!$F$2:$AJ$2,'Cash Flow'!$F$50:$AJ$50)+LOOKUP($B30,'Cash Flow'!$F$2:$AJ$2,'Cash Flow'!$F$51:$AJ$51))</f>
        <v>0</v>
      </c>
      <c r="H30" s="149">
        <f>IF($B30&gt;Inputs!$G$17,"",SUM(D30:G30))</f>
        <v>121907.21253283601</v>
      </c>
      <c r="I30" s="149">
        <f>IF($B30&gt;Inputs!$G$17,"",LOOKUP($B30,'Cash Flow'!$F$2:$AJ$2,'Cash Flow'!$F$63:$AJ$63))</f>
        <v>60953.606266418006</v>
      </c>
      <c r="J30" s="149">
        <f>IF($B30&gt;Inputs!$G$17,"",LOOKUP($B30,'Cash Flow'!$F$2:$AJ$2,'Cash Flow'!$F$64:$AJ$64))</f>
        <v>60953.606266418006</v>
      </c>
      <c r="K30" s="149">
        <f>IF($B30&gt;Inputs!$G$17,"",LOOKUP($B30,'Cash Flow'!$F$2:$AJ$2,'Cash Flow'!$F$66:$AJ$66)+LOOKUP($B30,'Cash Flow'!$F$2:$AJ$2,'Cash Flow'!$F$68:$AJ$68))</f>
        <v>-19520.392406820363</v>
      </c>
      <c r="L30" s="149">
        <f>IF($B30&gt;Inputs!$G$17,"",LOOKUP($B30,'Cash Flow'!$F$2:$AJ$2,'Cash Flow'!$F$67:$AJ$67)+LOOKUP($B30,'Cash Flow'!$F$2:$AJ$2,'Cash Flow'!$F$69:$AJ$69))</f>
        <v>-5181.0565326455308</v>
      </c>
      <c r="M30" s="149">
        <f>IF($B30&gt;Inputs!$G$17,"",H30+K30+L30)</f>
        <v>97205.763593370124</v>
      </c>
      <c r="N30" s="149">
        <f>IF($B30&gt;Inputs!$G$17,N29,N29+M30)</f>
        <v>79750819.486461371</v>
      </c>
      <c r="O30" s="153">
        <f>IF($B30&gt;Inputs!$G$17,"",LOOKUP($B30,'Cash Flow'!$F$2:$AJ$2,'Cash Flow'!$F$71:$AJ$71))</f>
        <v>0.14972128367018578</v>
      </c>
      <c r="P30" s="154" t="str">
        <f>IF($B30&gt;Inputs!$G$17,"",LOOKUP($B30,'Cash Flow'!$F$2:$AJ$2,'Cash Flow'!$F$44:$AJ$44))</f>
        <v>N/A</v>
      </c>
      <c r="R30" s="327">
        <f>IF($B30&gt;Inputs!$G$17,"",D30+K30+L30)</f>
        <v>5249088.3445389206</v>
      </c>
      <c r="S30" s="328">
        <f>IF($B30&gt;Inputs!$G$17,"",-(E30+F30+G30))</f>
        <v>5151882.5809455505</v>
      </c>
    </row>
    <row r="31" spans="2:19" ht="15">
      <c r="B31" s="151">
        <v>25</v>
      </c>
      <c r="C31" s="152">
        <f>IF($B31&gt;Inputs!$G$17,"",IF($B31&lt;=Inputs!$Q$6,LOOKUP($B31,'Cash Flow'!$F$2:$AJ$2,'Cash Flow'!$F$14:$AJ$14),LOOKUP($B31,'Cash Flow'!$F$2:$AJ$2,'Cash Flow'!$F$16:$AJ$16)))</f>
        <v>6.4337489979009046</v>
      </c>
      <c r="D31" s="149">
        <f>IF($B31&gt;Inputs!$G$17,"",LOOKUP($B31,'Cash Flow'!$F$2:$AJ$2,'Cash Flow'!$F$23:$AJ$23))</f>
        <v>5197753.5172522198</v>
      </c>
      <c r="E31" s="149">
        <f>IF($B31&gt;Inputs!$G$17,"",LOOKUP($B31,'Cash Flow'!$F$2:$AJ$2,'Cash Flow'!$F$38:$AJ$38))</f>
        <v>-5128527.3564827191</v>
      </c>
      <c r="F31" s="149">
        <f>IF($B31&gt;Inputs!$G$17,"",LOOKUP($B31,'Cash Flow'!$F$2:$AJ$2,'Cash Flow'!$F$88:$AJ$88))</f>
        <v>0</v>
      </c>
      <c r="G31" s="149">
        <f>IF($B31&gt;Inputs!$G$17,"",LOOKUP($B31,'Cash Flow'!$F$2:$AJ$2,'Cash Flow'!$F$50:$AJ$50)+LOOKUP($B31,'Cash Flow'!$F$2:$AJ$2,'Cash Flow'!$F$51:$AJ$51))</f>
        <v>2571274.0620270707</v>
      </c>
      <c r="H31" s="149">
        <f>IF($B31&gt;Inputs!$G$17,"",SUM(D31:G31))</f>
        <v>2640500.2227965714</v>
      </c>
      <c r="I31" s="149">
        <f>IF($B31&gt;Inputs!$G$17,"",LOOKUP($B31,'Cash Flow'!$F$2:$AJ$2,'Cash Flow'!$F$63:$AJ$63))</f>
        <v>34613.080384750385</v>
      </c>
      <c r="J31" s="149">
        <f>IF($B31&gt;Inputs!$G$17,"",LOOKUP($B31,'Cash Flow'!$F$2:$AJ$2,'Cash Flow'!$F$64:$AJ$64))</f>
        <v>34613.080384750385</v>
      </c>
      <c r="K31" s="149">
        <f>IF($B31&gt;Inputs!$G$17,"",LOOKUP($B31,'Cash Flow'!$F$2:$AJ$2,'Cash Flow'!$F$66:$AJ$66)+LOOKUP($B31,'Cash Flow'!$F$2:$AJ$2,'Cash Flow'!$F$68:$AJ$68))</f>
        <v>-11084.83899321631</v>
      </c>
      <c r="L31" s="149">
        <f>IF($B31&gt;Inputs!$G$17,"",LOOKUP($B31,'Cash Flow'!$F$2:$AJ$2,'Cash Flow'!$F$67:$AJ$67)+LOOKUP($B31,'Cash Flow'!$F$2:$AJ$2,'Cash Flow'!$F$69:$AJ$69))</f>
        <v>-2942.111832703783</v>
      </c>
      <c r="M31" s="149">
        <f>IF($B31&gt;Inputs!$G$17,"",H31+K31+L31)</f>
        <v>2626473.2719706511</v>
      </c>
      <c r="N31" s="149">
        <f>IF($B31&gt;Inputs!$G$17,N30,N30+M31)</f>
        <v>82377292.758432016</v>
      </c>
      <c r="O31" s="153">
        <f>IF($B31&gt;Inputs!$G$17,"",LOOKUP($B31,'Cash Flow'!$F$2:$AJ$2,'Cash Flow'!$F$71:$AJ$71))</f>
        <v>0.15007655077733828</v>
      </c>
      <c r="P31" s="154" t="str">
        <f>IF($B31&gt;Inputs!$G$17,"",LOOKUP($B31,'Cash Flow'!$F$2:$AJ$2,'Cash Flow'!$F$44:$AJ$44))</f>
        <v>N/A</v>
      </c>
      <c r="R31" s="327">
        <f>IF($B31&gt;Inputs!$G$17,"",D31+K31+L31)</f>
        <v>5183726.5664263004</v>
      </c>
      <c r="S31" s="328">
        <f>IF($B31&gt;Inputs!$G$17,"",-(E31+F31+G31))</f>
        <v>2557253.2944556484</v>
      </c>
    </row>
    <row r="32" spans="2:19" ht="15">
      <c r="B32" s="157">
        <v>26</v>
      </c>
      <c r="C32" s="152" t="str">
        <f>IF($B32&gt;Inputs!$G$17,"",IF($B32&lt;=Inputs!$Q$6,LOOKUP($B32,'Cash Flow'!$F$2:$AJ$2,'Cash Flow'!$F$14:$AJ$14),LOOKUP($B32,'Cash Flow'!$F$2:$AJ$2,'Cash Flow'!$F$16:$AJ$16)))</f>
        <v/>
      </c>
      <c r="D32" s="149" t="str">
        <f>IF($B32&gt;Inputs!$G$17,"",LOOKUP($B32,'Cash Flow'!$F$2:$AJ$2,'Cash Flow'!$F$23:$AJ$23))</f>
        <v/>
      </c>
      <c r="E32" s="149" t="str">
        <f>IF($B32&gt;Inputs!$G$17,"",LOOKUP($B32,'Cash Flow'!$F$2:$AJ$2,'Cash Flow'!$F$38:$AJ$38))</f>
        <v/>
      </c>
      <c r="F32" s="149" t="str">
        <f>IF($B32&gt;Inputs!$G$17,"",LOOKUP($B32,'Cash Flow'!$F$2:$AJ$2,'Cash Flow'!$F$88:$AJ$88))</f>
        <v/>
      </c>
      <c r="G32" s="149" t="str">
        <f>IF($B32&gt;Inputs!$G$17,"",LOOKUP($B32,'Cash Flow'!$F$2:$AJ$2,'Cash Flow'!$F$50:$AJ$50)+LOOKUP($B32,'Cash Flow'!$F$2:$AJ$2,'Cash Flow'!$F$51:$AJ$51))</f>
        <v/>
      </c>
      <c r="H32" s="149" t="str">
        <f>IF($B32&gt;Inputs!$G$17,"",SUM(D32:G32))</f>
        <v/>
      </c>
      <c r="I32" s="149" t="str">
        <f>IF($B32&gt;Inputs!$G$17,"",LOOKUP($B32,'Cash Flow'!$F$2:$AJ$2,'Cash Flow'!$F$63:$AJ$63))</f>
        <v/>
      </c>
      <c r="J32" s="149" t="str">
        <f>IF($B32&gt;Inputs!$G$17,"",LOOKUP($B32,'Cash Flow'!$F$2:$AJ$2,'Cash Flow'!$F$64:$AJ$64))</f>
        <v/>
      </c>
      <c r="K32" s="149" t="str">
        <f>IF($B32&gt;Inputs!$G$17,"",LOOKUP($B32,'Cash Flow'!$F$2:$AJ$2,'Cash Flow'!$F$66:$AJ$66)+LOOKUP($B32,'Cash Flow'!$F$2:$AJ$2,'Cash Flow'!$F$68:$AJ$68))</f>
        <v/>
      </c>
      <c r="L32" s="149" t="str">
        <f>IF($B32&gt;Inputs!$G$17,"",LOOKUP($B32,'Cash Flow'!$F$2:$AJ$2,'Cash Flow'!$F$67:$AJ$67)+LOOKUP($B32,'Cash Flow'!$F$2:$AJ$2,'Cash Flow'!$F$69:$AJ$69))</f>
        <v/>
      </c>
      <c r="M32" s="149" t="str">
        <f>IF($B32&gt;Inputs!$G$17,"",H32+K32+L32)</f>
        <v/>
      </c>
      <c r="N32" s="149">
        <f>IF($B32&gt;Inputs!$G$17,N31,N31+M32)</f>
        <v>82377292.758432016</v>
      </c>
      <c r="O32" s="153" t="str">
        <f>IF($B32&gt;Inputs!$G$17,"",LOOKUP($B32,'Cash Flow'!$F$2:$AJ$2,'Cash Flow'!$F$71:$AJ$71))</f>
        <v/>
      </c>
      <c r="P32" s="154" t="str">
        <f>IF($B32&gt;Inputs!$G$17,"",LOOKUP($B32,'Cash Flow'!$F$2:$AJ$2,'Cash Flow'!$F$44:$AJ$44))</f>
        <v/>
      </c>
      <c r="R32" s="327" t="str">
        <f>IF($B32&gt;Inputs!$G$17,"",D32+K32+L32)</f>
        <v/>
      </c>
      <c r="S32" s="328" t="str">
        <f>IF($B32&gt;Inputs!$G$17,"",-(E32+F32+G32))</f>
        <v/>
      </c>
    </row>
    <row r="33" spans="2:19" ht="15">
      <c r="B33" s="151">
        <v>27</v>
      </c>
      <c r="C33" s="152" t="str">
        <f>IF($B33&gt;Inputs!$G$17,"",IF($B33&lt;=Inputs!$Q$6,LOOKUP($B33,'Cash Flow'!$F$2:$AJ$2,'Cash Flow'!$F$14:$AJ$14),LOOKUP($B33,'Cash Flow'!$F$2:$AJ$2,'Cash Flow'!$F$16:$AJ$16)))</f>
        <v/>
      </c>
      <c r="D33" s="149" t="str">
        <f>IF($B33&gt;Inputs!$G$17,"",LOOKUP($B33,'Cash Flow'!$F$2:$AJ$2,'Cash Flow'!$F$23:$AJ$23))</f>
        <v/>
      </c>
      <c r="E33" s="149" t="str">
        <f>IF($B33&gt;Inputs!$G$17,"",LOOKUP($B33,'Cash Flow'!$F$2:$AJ$2,'Cash Flow'!$F$38:$AJ$38))</f>
        <v/>
      </c>
      <c r="F33" s="149" t="str">
        <f>IF($B33&gt;Inputs!$G$17,"",LOOKUP($B33,'Cash Flow'!$F$2:$AJ$2,'Cash Flow'!$F$88:$AJ$88))</f>
        <v/>
      </c>
      <c r="G33" s="149" t="str">
        <f>IF($B33&gt;Inputs!$G$17,"",LOOKUP($B33,'Cash Flow'!$F$2:$AJ$2,'Cash Flow'!$F$50:$AJ$50)+LOOKUP($B33,'Cash Flow'!$F$2:$AJ$2,'Cash Flow'!$F$51:$AJ$51))</f>
        <v/>
      </c>
      <c r="H33" s="149" t="str">
        <f>IF($B33&gt;Inputs!$G$17,"",SUM(D33:G33))</f>
        <v/>
      </c>
      <c r="I33" s="149" t="str">
        <f>IF($B33&gt;Inputs!$G$17,"",LOOKUP($B33,'Cash Flow'!$F$2:$AJ$2,'Cash Flow'!$F$63:$AJ$63))</f>
        <v/>
      </c>
      <c r="J33" s="149" t="str">
        <f>IF($B33&gt;Inputs!$G$17,"",LOOKUP($B33,'Cash Flow'!$F$2:$AJ$2,'Cash Flow'!$F$64:$AJ$64))</f>
        <v/>
      </c>
      <c r="K33" s="149" t="str">
        <f>IF($B33&gt;Inputs!$G$17,"",LOOKUP($B33,'Cash Flow'!$F$2:$AJ$2,'Cash Flow'!$F$66:$AJ$66)+LOOKUP($B33,'Cash Flow'!$F$2:$AJ$2,'Cash Flow'!$F$68:$AJ$68))</f>
        <v/>
      </c>
      <c r="L33" s="149" t="str">
        <f>IF($B33&gt;Inputs!$G$17,"",LOOKUP($B33,'Cash Flow'!$F$2:$AJ$2,'Cash Flow'!$F$67:$AJ$67)+LOOKUP($B33,'Cash Flow'!$F$2:$AJ$2,'Cash Flow'!$F$69:$AJ$69))</f>
        <v/>
      </c>
      <c r="M33" s="149" t="str">
        <f>IF($B33&gt;Inputs!$G$17,"",H33+K33+L33)</f>
        <v/>
      </c>
      <c r="N33" s="149">
        <f>IF($B33&gt;Inputs!$G$17,N32,N32+M33)</f>
        <v>82377292.758432016</v>
      </c>
      <c r="O33" s="153" t="str">
        <f>IF($B33&gt;Inputs!$G$17,"",LOOKUP($B33,'Cash Flow'!$F$2:$AJ$2,'Cash Flow'!$F$71:$AJ$71))</f>
        <v/>
      </c>
      <c r="P33" s="154" t="str">
        <f>IF($B33&gt;Inputs!$G$17,"",LOOKUP($B33,'Cash Flow'!$F$2:$AJ$2,'Cash Flow'!$F$44:$AJ$44))</f>
        <v/>
      </c>
      <c r="R33" s="327" t="str">
        <f>IF($B33&gt;Inputs!$G$17,"",D33+K33+L33)</f>
        <v/>
      </c>
      <c r="S33" s="328" t="str">
        <f>IF($B33&gt;Inputs!$G$17,"",-(E33+F33+G33))</f>
        <v/>
      </c>
    </row>
    <row r="34" spans="2:19" ht="15">
      <c r="B34" s="151">
        <v>28</v>
      </c>
      <c r="C34" s="152" t="str">
        <f>IF($B34&gt;Inputs!$G$17,"",IF($B34&lt;=Inputs!$Q$6,LOOKUP($B34,'Cash Flow'!$F$2:$AJ$2,'Cash Flow'!$F$14:$AJ$14),LOOKUP($B34,'Cash Flow'!$F$2:$AJ$2,'Cash Flow'!$F$16:$AJ$16)))</f>
        <v/>
      </c>
      <c r="D34" s="149" t="str">
        <f>IF($B34&gt;Inputs!$G$17,"",LOOKUP($B34,'Cash Flow'!$F$2:$AJ$2,'Cash Flow'!$F$23:$AJ$23))</f>
        <v/>
      </c>
      <c r="E34" s="149" t="str">
        <f>IF($B34&gt;Inputs!$G$17,"",LOOKUP($B34,'Cash Flow'!$F$2:$AJ$2,'Cash Flow'!$F$38:$AJ$38))</f>
        <v/>
      </c>
      <c r="F34" s="149" t="str">
        <f>IF($B34&gt;Inputs!$G$17,"",LOOKUP($B34,'Cash Flow'!$F$2:$AJ$2,'Cash Flow'!$F$88:$AJ$88))</f>
        <v/>
      </c>
      <c r="G34" s="149" t="str">
        <f>IF($B34&gt;Inputs!$G$17,"",LOOKUP($B34,'Cash Flow'!$F$2:$AJ$2,'Cash Flow'!$F$50:$AJ$50)+LOOKUP($B34,'Cash Flow'!$F$2:$AJ$2,'Cash Flow'!$F$51:$AJ$51))</f>
        <v/>
      </c>
      <c r="H34" s="149" t="str">
        <f>IF($B34&gt;Inputs!$G$17,"",SUM(D34:G34))</f>
        <v/>
      </c>
      <c r="I34" s="149" t="str">
        <f>IF($B34&gt;Inputs!$G$17,"",LOOKUP($B34,'Cash Flow'!$F$2:$AJ$2,'Cash Flow'!$F$63:$AJ$63))</f>
        <v/>
      </c>
      <c r="J34" s="149" t="str">
        <f>IF($B34&gt;Inputs!$G$17,"",LOOKUP($B34,'Cash Flow'!$F$2:$AJ$2,'Cash Flow'!$F$64:$AJ$64))</f>
        <v/>
      </c>
      <c r="K34" s="149" t="str">
        <f>IF($B34&gt;Inputs!$G$17,"",LOOKUP($B34,'Cash Flow'!$F$2:$AJ$2,'Cash Flow'!$F$66:$AJ$66)+LOOKUP($B34,'Cash Flow'!$F$2:$AJ$2,'Cash Flow'!$F$68:$AJ$68))</f>
        <v/>
      </c>
      <c r="L34" s="149" t="str">
        <f>IF($B34&gt;Inputs!$G$17,"",LOOKUP($B34,'Cash Flow'!$F$2:$AJ$2,'Cash Flow'!$F$67:$AJ$67)+LOOKUP($B34,'Cash Flow'!$F$2:$AJ$2,'Cash Flow'!$F$69:$AJ$69))</f>
        <v/>
      </c>
      <c r="M34" s="149" t="str">
        <f>IF($B34&gt;Inputs!$G$17,"",H34+K34+L34)</f>
        <v/>
      </c>
      <c r="N34" s="149">
        <f>IF($B34&gt;Inputs!$G$17,N33,N33+M34)</f>
        <v>82377292.758432016</v>
      </c>
      <c r="O34" s="153" t="str">
        <f>IF($B34&gt;Inputs!$G$17,"",LOOKUP($B34,'Cash Flow'!$F$2:$AJ$2,'Cash Flow'!$F$71:$AJ$71))</f>
        <v/>
      </c>
      <c r="P34" s="154" t="str">
        <f>IF($B34&gt;Inputs!$G$17,"",LOOKUP($B34,'Cash Flow'!$F$2:$AJ$2,'Cash Flow'!$F$44:$AJ$44))</f>
        <v/>
      </c>
      <c r="R34" s="327" t="str">
        <f>IF($B34&gt;Inputs!$G$17,"",D34+K34+L34)</f>
        <v/>
      </c>
      <c r="S34" s="328" t="str">
        <f>IF($B34&gt;Inputs!$G$17,"",-(E34+F34+G34))</f>
        <v/>
      </c>
    </row>
    <row r="35" spans="2:19" ht="15">
      <c r="B35" s="157">
        <v>29</v>
      </c>
      <c r="C35" s="152" t="str">
        <f>IF($B35&gt;Inputs!$G$17,"",IF($B35&lt;=Inputs!$Q$6,LOOKUP($B35,'Cash Flow'!$F$2:$AJ$2,'Cash Flow'!$F$14:$AJ$14),LOOKUP($B35,'Cash Flow'!$F$2:$AJ$2,'Cash Flow'!$F$16:$AJ$16)))</f>
        <v/>
      </c>
      <c r="D35" s="149" t="str">
        <f>IF($B35&gt;Inputs!$G$17,"",LOOKUP($B35,'Cash Flow'!$F$2:$AJ$2,'Cash Flow'!$F$23:$AJ$23))</f>
        <v/>
      </c>
      <c r="E35" s="149" t="str">
        <f>IF($B35&gt;Inputs!$G$17,"",LOOKUP($B35,'Cash Flow'!$F$2:$AJ$2,'Cash Flow'!$F$38:$AJ$38))</f>
        <v/>
      </c>
      <c r="F35" s="149" t="str">
        <f>IF($B35&gt;Inputs!$G$17,"",LOOKUP($B35,'Cash Flow'!$F$2:$AJ$2,'Cash Flow'!$F$88:$AJ$88))</f>
        <v/>
      </c>
      <c r="G35" s="149" t="str">
        <f>IF($B35&gt;Inputs!$G$17,"",LOOKUP($B35,'Cash Flow'!$F$2:$AJ$2,'Cash Flow'!$F$50:$AJ$50)+LOOKUP($B35,'Cash Flow'!$F$2:$AJ$2,'Cash Flow'!$F$51:$AJ$51))</f>
        <v/>
      </c>
      <c r="H35" s="149" t="str">
        <f>IF($B35&gt;Inputs!$G$17,"",SUM(D35:G35))</f>
        <v/>
      </c>
      <c r="I35" s="149" t="str">
        <f>IF($B35&gt;Inputs!$G$17,"",LOOKUP($B35,'Cash Flow'!$F$2:$AJ$2,'Cash Flow'!$F$63:$AJ$63))</f>
        <v/>
      </c>
      <c r="J35" s="149" t="str">
        <f>IF($B35&gt;Inputs!$G$17,"",LOOKUP($B35,'Cash Flow'!$F$2:$AJ$2,'Cash Flow'!$F$64:$AJ$64))</f>
        <v/>
      </c>
      <c r="K35" s="149" t="str">
        <f>IF($B35&gt;Inputs!$G$17,"",LOOKUP($B35,'Cash Flow'!$F$2:$AJ$2,'Cash Flow'!$F$66:$AJ$66)+LOOKUP($B35,'Cash Flow'!$F$2:$AJ$2,'Cash Flow'!$F$68:$AJ$68))</f>
        <v/>
      </c>
      <c r="L35" s="149" t="str">
        <f>IF($B35&gt;Inputs!$G$17,"",LOOKUP($B35,'Cash Flow'!$F$2:$AJ$2,'Cash Flow'!$F$67:$AJ$67)+LOOKUP($B35,'Cash Flow'!$F$2:$AJ$2,'Cash Flow'!$F$69:$AJ$69))</f>
        <v/>
      </c>
      <c r="M35" s="149" t="str">
        <f>IF($B35&gt;Inputs!$G$17,"",H35+K35+L35)</f>
        <v/>
      </c>
      <c r="N35" s="149">
        <f>IF($B35&gt;Inputs!$G$17,N34,N34+M35)</f>
        <v>82377292.758432016</v>
      </c>
      <c r="O35" s="153" t="str">
        <f>IF($B35&gt;Inputs!$G$17,"",LOOKUP($B35,'Cash Flow'!$F$2:$AJ$2,'Cash Flow'!$F$71:$AJ$71))</f>
        <v/>
      </c>
      <c r="P35" s="154" t="str">
        <f>IF($B35&gt;Inputs!$G$17,"",LOOKUP($B35,'Cash Flow'!$F$2:$AJ$2,'Cash Flow'!$F$44:$AJ$44))</f>
        <v/>
      </c>
      <c r="R35" s="327" t="str">
        <f>IF($B35&gt;Inputs!$G$17,"",D35+K35+L35)</f>
        <v/>
      </c>
      <c r="S35" s="328" t="str">
        <f>IF($B35&gt;Inputs!$G$17,"",-(E35+F35+G35))</f>
        <v/>
      </c>
    </row>
    <row r="36" spans="2:19" ht="15">
      <c r="B36" s="151">
        <v>30</v>
      </c>
      <c r="C36" s="152" t="str">
        <f>IF($B36&gt;Inputs!$G$17,"",IF($B36&lt;=Inputs!$Q$6,LOOKUP($B36,'Cash Flow'!$F$2:$AJ$2,'Cash Flow'!$F$14:$AJ$14),LOOKUP($B36,'Cash Flow'!$F$2:$AJ$2,'Cash Flow'!$F$16:$AJ$16)))</f>
        <v/>
      </c>
      <c r="D36" s="149" t="str">
        <f>IF($B36&gt;Inputs!$G$17,"",LOOKUP($B36,'Cash Flow'!$F$2:$AJ$2,'Cash Flow'!$F$23:$AJ$23))</f>
        <v/>
      </c>
      <c r="E36" s="149" t="str">
        <f>IF($B36&gt;Inputs!$G$17,"",LOOKUP($B36,'Cash Flow'!$F$2:$AJ$2,'Cash Flow'!$F$38:$AJ$38))</f>
        <v/>
      </c>
      <c r="F36" s="149" t="str">
        <f>IF($B36&gt;Inputs!$G$17,"",LOOKUP($B36,'Cash Flow'!$F$2:$AJ$2,'Cash Flow'!$F$88:$AJ$88))</f>
        <v/>
      </c>
      <c r="G36" s="149" t="str">
        <f>IF($B36&gt;Inputs!$G$17,"",LOOKUP($B36,'Cash Flow'!$F$2:$AJ$2,'Cash Flow'!$F$50:$AJ$50)+LOOKUP($B36,'Cash Flow'!$F$2:$AJ$2,'Cash Flow'!$F$51:$AJ$51))</f>
        <v/>
      </c>
      <c r="H36" s="149" t="str">
        <f>IF($B36&gt;Inputs!$G$17,"",SUM(D36:G36))</f>
        <v/>
      </c>
      <c r="I36" s="149" t="str">
        <f>IF($B36&gt;Inputs!$G$17,"",LOOKUP($B36,'Cash Flow'!$F$2:$AJ$2,'Cash Flow'!$F$63:$AJ$63))</f>
        <v/>
      </c>
      <c r="J36" s="149" t="str">
        <f>IF($B36&gt;Inputs!$G$17,"",LOOKUP($B36,'Cash Flow'!$F$2:$AJ$2,'Cash Flow'!$F$64:$AJ$64))</f>
        <v/>
      </c>
      <c r="K36" s="149" t="str">
        <f>IF($B36&gt;Inputs!$G$17,"",LOOKUP($B36,'Cash Flow'!$F$2:$AJ$2,'Cash Flow'!$F$66:$AJ$66)+LOOKUP($B36,'Cash Flow'!$F$2:$AJ$2,'Cash Flow'!$F$68:$AJ$68))</f>
        <v/>
      </c>
      <c r="L36" s="149" t="str">
        <f>IF($B36&gt;Inputs!$G$17,"",LOOKUP($B36,'Cash Flow'!$F$2:$AJ$2,'Cash Flow'!$F$67:$AJ$67)+LOOKUP($B36,'Cash Flow'!$F$2:$AJ$2,'Cash Flow'!$F$69:$AJ$69))</f>
        <v/>
      </c>
      <c r="M36" s="149" t="str">
        <f>IF($B36&gt;Inputs!$G$17,"",H36+K36+L36)</f>
        <v/>
      </c>
      <c r="N36" s="149">
        <f>IF($B36&gt;Inputs!$G$17,N35,N35+M36)</f>
        <v>82377292.758432016</v>
      </c>
      <c r="O36" s="153" t="str">
        <f>IF($B36&gt;Inputs!$G$17,"",LOOKUP($B36,'Cash Flow'!$F$2:$AJ$2,'Cash Flow'!$F$71:$AJ$71))</f>
        <v/>
      </c>
      <c r="P36" s="154" t="str">
        <f>IF($B36&gt;Inputs!$G$17,"",LOOKUP($B36,'Cash Flow'!$F$2:$AJ$2,'Cash Flow'!$F$44:$AJ$44))</f>
        <v/>
      </c>
      <c r="R36" s="327" t="str">
        <f>IF($B36&gt;Inputs!$G$17,"",D36+K36+L36)</f>
        <v/>
      </c>
      <c r="S36" s="328" t="str">
        <f>IF($B36&gt;Inputs!$G$17,"",-(E36+F36+G36))</f>
        <v/>
      </c>
    </row>
    <row r="37" spans="2:19">
      <c r="B37" s="158"/>
      <c r="C37" s="159"/>
      <c r="D37" s="159"/>
      <c r="E37" s="159"/>
      <c r="F37" s="159"/>
      <c r="G37" s="170"/>
      <c r="H37" s="159"/>
      <c r="I37" s="159"/>
      <c r="J37" s="159"/>
      <c r="K37" s="159"/>
      <c r="L37" s="159"/>
      <c r="M37" s="170"/>
      <c r="N37" s="170"/>
      <c r="O37" s="170"/>
      <c r="P37" s="171"/>
      <c r="R37" s="329"/>
      <c r="S37" s="330"/>
    </row>
    <row r="38" spans="2:19">
      <c r="G38" s="172"/>
      <c r="M38" s="172"/>
      <c r="N38" s="172"/>
      <c r="O38" s="172"/>
      <c r="P38" s="172"/>
    </row>
  </sheetData>
  <mergeCells count="3">
    <mergeCell ref="R4:R5"/>
    <mergeCell ref="S4:S5"/>
    <mergeCell ref="R3:S3"/>
  </mergeCells>
  <conditionalFormatting sqref="N7:N36">
    <cfRule type="expression" dxfId="6" priority="1">
      <formula>$N7=$N6</formula>
    </cfRule>
  </conditionalFormatting>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271"/>
  <sheetViews>
    <sheetView showGridLines="0" zoomScale="70" zoomScaleNormal="70" workbookViewId="0">
      <pane xSplit="5" ySplit="2" topLeftCell="F3" activePane="bottomRight" state="frozen"/>
      <selection pane="topRight" activeCell="D1" sqref="D1"/>
      <selection pane="bottomLeft" activeCell="A4" sqref="A4"/>
      <selection pane="bottomRight" activeCell="G169" sqref="G169"/>
    </sheetView>
  </sheetViews>
  <sheetFormatPr baseColWidth="10" defaultColWidth="8.83203125" defaultRowHeight="15"/>
  <cols>
    <col min="1" max="1" width="5.5" style="47" customWidth="1"/>
    <col min="2" max="2" width="58.6640625" style="47" customWidth="1"/>
    <col min="3" max="5" width="15.33203125" style="47" customWidth="1"/>
    <col min="6" max="6" width="20.33203125" style="47" customWidth="1"/>
    <col min="7" max="7" width="15.1640625" style="47" customWidth="1"/>
    <col min="8" max="8" width="15.83203125" style="47" customWidth="1"/>
    <col min="9" max="9" width="15.6640625" style="47" customWidth="1"/>
    <col min="10" max="10" width="17.5" style="47" customWidth="1"/>
    <col min="11" max="11" width="15.6640625" style="47" bestFit="1" customWidth="1"/>
    <col min="12" max="19" width="18.1640625" style="47" customWidth="1"/>
    <col min="20" max="22" width="16.33203125" style="47" customWidth="1"/>
    <col min="23" max="36" width="18.5" style="47" customWidth="1"/>
    <col min="37" max="228" width="9.1640625" style="47"/>
    <col min="229" max="229" width="5.5" style="47" customWidth="1"/>
    <col min="230" max="230" width="56.5" style="47" customWidth="1"/>
    <col min="231" max="231" width="15.33203125" style="47" customWidth="1"/>
    <col min="232" max="232" width="15.83203125" style="47" customWidth="1"/>
    <col min="233" max="233" width="15.1640625" style="47" customWidth="1"/>
    <col min="234" max="292" width="13.6640625" style="47" customWidth="1"/>
    <col min="293" max="484" width="9.1640625" style="47"/>
    <col min="485" max="485" width="5.5" style="47" customWidth="1"/>
    <col min="486" max="486" width="56.5" style="47" customWidth="1"/>
    <col min="487" max="487" width="15.33203125" style="47" customWidth="1"/>
    <col min="488" max="488" width="15.83203125" style="47" customWidth="1"/>
    <col min="489" max="489" width="15.1640625" style="47" customWidth="1"/>
    <col min="490" max="548" width="13.6640625" style="47" customWidth="1"/>
    <col min="549" max="740" width="9.1640625" style="47"/>
    <col min="741" max="741" width="5.5" style="47" customWidth="1"/>
    <col min="742" max="742" width="56.5" style="47" customWidth="1"/>
    <col min="743" max="743" width="15.33203125" style="47" customWidth="1"/>
    <col min="744" max="744" width="15.83203125" style="47" customWidth="1"/>
    <col min="745" max="745" width="15.1640625" style="47" customWidth="1"/>
    <col min="746" max="804" width="13.6640625" style="47" customWidth="1"/>
    <col min="805" max="996" width="9.1640625" style="47"/>
    <col min="997" max="997" width="5.5" style="47" customWidth="1"/>
    <col min="998" max="998" width="56.5" style="47" customWidth="1"/>
    <col min="999" max="999" width="15.33203125" style="47" customWidth="1"/>
    <col min="1000" max="1000" width="15.83203125" style="47" customWidth="1"/>
    <col min="1001" max="1001" width="15.1640625" style="47" customWidth="1"/>
    <col min="1002" max="1060" width="13.6640625" style="47" customWidth="1"/>
    <col min="1061" max="1252" width="9.1640625" style="47"/>
    <col min="1253" max="1253" width="5.5" style="47" customWidth="1"/>
    <col min="1254" max="1254" width="56.5" style="47" customWidth="1"/>
    <col min="1255" max="1255" width="15.33203125" style="47" customWidth="1"/>
    <col min="1256" max="1256" width="15.83203125" style="47" customWidth="1"/>
    <col min="1257" max="1257" width="15.1640625" style="47" customWidth="1"/>
    <col min="1258" max="1316" width="13.6640625" style="47" customWidth="1"/>
    <col min="1317" max="1508" width="9.1640625" style="47"/>
    <col min="1509" max="1509" width="5.5" style="47" customWidth="1"/>
    <col min="1510" max="1510" width="56.5" style="47" customWidth="1"/>
    <col min="1511" max="1511" width="15.33203125" style="47" customWidth="1"/>
    <col min="1512" max="1512" width="15.83203125" style="47" customWidth="1"/>
    <col min="1513" max="1513" width="15.1640625" style="47" customWidth="1"/>
    <col min="1514" max="1572" width="13.6640625" style="47" customWidth="1"/>
    <col min="1573" max="1764" width="9.1640625" style="47"/>
    <col min="1765" max="1765" width="5.5" style="47" customWidth="1"/>
    <col min="1766" max="1766" width="56.5" style="47" customWidth="1"/>
    <col min="1767" max="1767" width="15.33203125" style="47" customWidth="1"/>
    <col min="1768" max="1768" width="15.83203125" style="47" customWidth="1"/>
    <col min="1769" max="1769" width="15.1640625" style="47" customWidth="1"/>
    <col min="1770" max="1828" width="13.6640625" style="47" customWidth="1"/>
    <col min="1829" max="2020" width="9.1640625" style="47"/>
    <col min="2021" max="2021" width="5.5" style="47" customWidth="1"/>
    <col min="2022" max="2022" width="56.5" style="47" customWidth="1"/>
    <col min="2023" max="2023" width="15.33203125" style="47" customWidth="1"/>
    <col min="2024" max="2024" width="15.83203125" style="47" customWidth="1"/>
    <col min="2025" max="2025" width="15.1640625" style="47" customWidth="1"/>
    <col min="2026" max="2084" width="13.6640625" style="47" customWidth="1"/>
    <col min="2085" max="2276" width="9.1640625" style="47"/>
    <col min="2277" max="2277" width="5.5" style="47" customWidth="1"/>
    <col min="2278" max="2278" width="56.5" style="47" customWidth="1"/>
    <col min="2279" max="2279" width="15.33203125" style="47" customWidth="1"/>
    <col min="2280" max="2280" width="15.83203125" style="47" customWidth="1"/>
    <col min="2281" max="2281" width="15.1640625" style="47" customWidth="1"/>
    <col min="2282" max="2340" width="13.6640625" style="47" customWidth="1"/>
    <col min="2341" max="2532" width="9.1640625" style="47"/>
    <col min="2533" max="2533" width="5.5" style="47" customWidth="1"/>
    <col min="2534" max="2534" width="56.5" style="47" customWidth="1"/>
    <col min="2535" max="2535" width="15.33203125" style="47" customWidth="1"/>
    <col min="2536" max="2536" width="15.83203125" style="47" customWidth="1"/>
    <col min="2537" max="2537" width="15.1640625" style="47" customWidth="1"/>
    <col min="2538" max="2596" width="13.6640625" style="47" customWidth="1"/>
    <col min="2597" max="2788" width="9.1640625" style="47"/>
    <col min="2789" max="2789" width="5.5" style="47" customWidth="1"/>
    <col min="2790" max="2790" width="56.5" style="47" customWidth="1"/>
    <col min="2791" max="2791" width="15.33203125" style="47" customWidth="1"/>
    <col min="2792" max="2792" width="15.83203125" style="47" customWidth="1"/>
    <col min="2793" max="2793" width="15.1640625" style="47" customWidth="1"/>
    <col min="2794" max="2852" width="13.6640625" style="47" customWidth="1"/>
    <col min="2853" max="3044" width="9.1640625" style="47"/>
    <col min="3045" max="3045" width="5.5" style="47" customWidth="1"/>
    <col min="3046" max="3046" width="56.5" style="47" customWidth="1"/>
    <col min="3047" max="3047" width="15.33203125" style="47" customWidth="1"/>
    <col min="3048" max="3048" width="15.83203125" style="47" customWidth="1"/>
    <col min="3049" max="3049" width="15.1640625" style="47" customWidth="1"/>
    <col min="3050" max="3108" width="13.6640625" style="47" customWidth="1"/>
    <col min="3109" max="3300" width="9.1640625" style="47"/>
    <col min="3301" max="3301" width="5.5" style="47" customWidth="1"/>
    <col min="3302" max="3302" width="56.5" style="47" customWidth="1"/>
    <col min="3303" max="3303" width="15.33203125" style="47" customWidth="1"/>
    <col min="3304" max="3304" width="15.83203125" style="47" customWidth="1"/>
    <col min="3305" max="3305" width="15.1640625" style="47" customWidth="1"/>
    <col min="3306" max="3364" width="13.6640625" style="47" customWidth="1"/>
    <col min="3365" max="3556" width="9.1640625" style="47"/>
    <col min="3557" max="3557" width="5.5" style="47" customWidth="1"/>
    <col min="3558" max="3558" width="56.5" style="47" customWidth="1"/>
    <col min="3559" max="3559" width="15.33203125" style="47" customWidth="1"/>
    <col min="3560" max="3560" width="15.83203125" style="47" customWidth="1"/>
    <col min="3561" max="3561" width="15.1640625" style="47" customWidth="1"/>
    <col min="3562" max="3620" width="13.6640625" style="47" customWidth="1"/>
    <col min="3621" max="3812" width="9.1640625" style="47"/>
    <col min="3813" max="3813" width="5.5" style="47" customWidth="1"/>
    <col min="3814" max="3814" width="56.5" style="47" customWidth="1"/>
    <col min="3815" max="3815" width="15.33203125" style="47" customWidth="1"/>
    <col min="3816" max="3816" width="15.83203125" style="47" customWidth="1"/>
    <col min="3817" max="3817" width="15.1640625" style="47" customWidth="1"/>
    <col min="3818" max="3876" width="13.6640625" style="47" customWidth="1"/>
    <col min="3877" max="4068" width="9.1640625" style="47"/>
    <col min="4069" max="4069" width="5.5" style="47" customWidth="1"/>
    <col min="4070" max="4070" width="56.5" style="47" customWidth="1"/>
    <col min="4071" max="4071" width="15.33203125" style="47" customWidth="1"/>
    <col min="4072" max="4072" width="15.83203125" style="47" customWidth="1"/>
    <col min="4073" max="4073" width="15.1640625" style="47" customWidth="1"/>
    <col min="4074" max="4132" width="13.6640625" style="47" customWidth="1"/>
    <col min="4133" max="4324" width="9.1640625" style="47"/>
    <col min="4325" max="4325" width="5.5" style="47" customWidth="1"/>
    <col min="4326" max="4326" width="56.5" style="47" customWidth="1"/>
    <col min="4327" max="4327" width="15.33203125" style="47" customWidth="1"/>
    <col min="4328" max="4328" width="15.83203125" style="47" customWidth="1"/>
    <col min="4329" max="4329" width="15.1640625" style="47" customWidth="1"/>
    <col min="4330" max="4388" width="13.6640625" style="47" customWidth="1"/>
    <col min="4389" max="4580" width="9.1640625" style="47"/>
    <col min="4581" max="4581" width="5.5" style="47" customWidth="1"/>
    <col min="4582" max="4582" width="56.5" style="47" customWidth="1"/>
    <col min="4583" max="4583" width="15.33203125" style="47" customWidth="1"/>
    <col min="4584" max="4584" width="15.83203125" style="47" customWidth="1"/>
    <col min="4585" max="4585" width="15.1640625" style="47" customWidth="1"/>
    <col min="4586" max="4644" width="13.6640625" style="47" customWidth="1"/>
    <col min="4645" max="4836" width="9.1640625" style="47"/>
    <col min="4837" max="4837" width="5.5" style="47" customWidth="1"/>
    <col min="4838" max="4838" width="56.5" style="47" customWidth="1"/>
    <col min="4839" max="4839" width="15.33203125" style="47" customWidth="1"/>
    <col min="4840" max="4840" width="15.83203125" style="47" customWidth="1"/>
    <col min="4841" max="4841" width="15.1640625" style="47" customWidth="1"/>
    <col min="4842" max="4900" width="13.6640625" style="47" customWidth="1"/>
    <col min="4901" max="5092" width="9.1640625" style="47"/>
    <col min="5093" max="5093" width="5.5" style="47" customWidth="1"/>
    <col min="5094" max="5094" width="56.5" style="47" customWidth="1"/>
    <col min="5095" max="5095" width="15.33203125" style="47" customWidth="1"/>
    <col min="5096" max="5096" width="15.83203125" style="47" customWidth="1"/>
    <col min="5097" max="5097" width="15.1640625" style="47" customWidth="1"/>
    <col min="5098" max="5156" width="13.6640625" style="47" customWidth="1"/>
    <col min="5157" max="5348" width="9.1640625" style="47"/>
    <col min="5349" max="5349" width="5.5" style="47" customWidth="1"/>
    <col min="5350" max="5350" width="56.5" style="47" customWidth="1"/>
    <col min="5351" max="5351" width="15.33203125" style="47" customWidth="1"/>
    <col min="5352" max="5352" width="15.83203125" style="47" customWidth="1"/>
    <col min="5353" max="5353" width="15.1640625" style="47" customWidth="1"/>
    <col min="5354" max="5412" width="13.6640625" style="47" customWidth="1"/>
    <col min="5413" max="5604" width="9.1640625" style="47"/>
    <col min="5605" max="5605" width="5.5" style="47" customWidth="1"/>
    <col min="5606" max="5606" width="56.5" style="47" customWidth="1"/>
    <col min="5607" max="5607" width="15.33203125" style="47" customWidth="1"/>
    <col min="5608" max="5608" width="15.83203125" style="47" customWidth="1"/>
    <col min="5609" max="5609" width="15.1640625" style="47" customWidth="1"/>
    <col min="5610" max="5668" width="13.6640625" style="47" customWidth="1"/>
    <col min="5669" max="5860" width="9.1640625" style="47"/>
    <col min="5861" max="5861" width="5.5" style="47" customWidth="1"/>
    <col min="5862" max="5862" width="56.5" style="47" customWidth="1"/>
    <col min="5863" max="5863" width="15.33203125" style="47" customWidth="1"/>
    <col min="5864" max="5864" width="15.83203125" style="47" customWidth="1"/>
    <col min="5865" max="5865" width="15.1640625" style="47" customWidth="1"/>
    <col min="5866" max="5924" width="13.6640625" style="47" customWidth="1"/>
    <col min="5925" max="6116" width="9.1640625" style="47"/>
    <col min="6117" max="6117" width="5.5" style="47" customWidth="1"/>
    <col min="6118" max="6118" width="56.5" style="47" customWidth="1"/>
    <col min="6119" max="6119" width="15.33203125" style="47" customWidth="1"/>
    <col min="6120" max="6120" width="15.83203125" style="47" customWidth="1"/>
    <col min="6121" max="6121" width="15.1640625" style="47" customWidth="1"/>
    <col min="6122" max="6180" width="13.6640625" style="47" customWidth="1"/>
    <col min="6181" max="6372" width="9.1640625" style="47"/>
    <col min="6373" max="6373" width="5.5" style="47" customWidth="1"/>
    <col min="6374" max="6374" width="56.5" style="47" customWidth="1"/>
    <col min="6375" max="6375" width="15.33203125" style="47" customWidth="1"/>
    <col min="6376" max="6376" width="15.83203125" style="47" customWidth="1"/>
    <col min="6377" max="6377" width="15.1640625" style="47" customWidth="1"/>
    <col min="6378" max="6436" width="13.6640625" style="47" customWidth="1"/>
    <col min="6437" max="6628" width="9.1640625" style="47"/>
    <col min="6629" max="6629" width="5.5" style="47" customWidth="1"/>
    <col min="6630" max="6630" width="56.5" style="47" customWidth="1"/>
    <col min="6631" max="6631" width="15.33203125" style="47" customWidth="1"/>
    <col min="6632" max="6632" width="15.83203125" style="47" customWidth="1"/>
    <col min="6633" max="6633" width="15.1640625" style="47" customWidth="1"/>
    <col min="6634" max="6692" width="13.6640625" style="47" customWidth="1"/>
    <col min="6693" max="6884" width="9.1640625" style="47"/>
    <col min="6885" max="6885" width="5.5" style="47" customWidth="1"/>
    <col min="6886" max="6886" width="56.5" style="47" customWidth="1"/>
    <col min="6887" max="6887" width="15.33203125" style="47" customWidth="1"/>
    <col min="6888" max="6888" width="15.83203125" style="47" customWidth="1"/>
    <col min="6889" max="6889" width="15.1640625" style="47" customWidth="1"/>
    <col min="6890" max="6948" width="13.6640625" style="47" customWidth="1"/>
    <col min="6949" max="7140" width="9.1640625" style="47"/>
    <col min="7141" max="7141" width="5.5" style="47" customWidth="1"/>
    <col min="7142" max="7142" width="56.5" style="47" customWidth="1"/>
    <col min="7143" max="7143" width="15.33203125" style="47" customWidth="1"/>
    <col min="7144" max="7144" width="15.83203125" style="47" customWidth="1"/>
    <col min="7145" max="7145" width="15.1640625" style="47" customWidth="1"/>
    <col min="7146" max="7204" width="13.6640625" style="47" customWidth="1"/>
    <col min="7205" max="7396" width="9.1640625" style="47"/>
    <col min="7397" max="7397" width="5.5" style="47" customWidth="1"/>
    <col min="7398" max="7398" width="56.5" style="47" customWidth="1"/>
    <col min="7399" max="7399" width="15.33203125" style="47" customWidth="1"/>
    <col min="7400" max="7400" width="15.83203125" style="47" customWidth="1"/>
    <col min="7401" max="7401" width="15.1640625" style="47" customWidth="1"/>
    <col min="7402" max="7460" width="13.6640625" style="47" customWidth="1"/>
    <col min="7461" max="7652" width="9.1640625" style="47"/>
    <col min="7653" max="7653" width="5.5" style="47" customWidth="1"/>
    <col min="7654" max="7654" width="56.5" style="47" customWidth="1"/>
    <col min="7655" max="7655" width="15.33203125" style="47" customWidth="1"/>
    <col min="7656" max="7656" width="15.83203125" style="47" customWidth="1"/>
    <col min="7657" max="7657" width="15.1640625" style="47" customWidth="1"/>
    <col min="7658" max="7716" width="13.6640625" style="47" customWidth="1"/>
    <col min="7717" max="7908" width="9.1640625" style="47"/>
    <col min="7909" max="7909" width="5.5" style="47" customWidth="1"/>
    <col min="7910" max="7910" width="56.5" style="47" customWidth="1"/>
    <col min="7911" max="7911" width="15.33203125" style="47" customWidth="1"/>
    <col min="7912" max="7912" width="15.83203125" style="47" customWidth="1"/>
    <col min="7913" max="7913" width="15.1640625" style="47" customWidth="1"/>
    <col min="7914" max="7972" width="13.6640625" style="47" customWidth="1"/>
    <col min="7973" max="8164" width="9.1640625" style="47"/>
    <col min="8165" max="8165" width="5.5" style="47" customWidth="1"/>
    <col min="8166" max="8166" width="56.5" style="47" customWidth="1"/>
    <col min="8167" max="8167" width="15.33203125" style="47" customWidth="1"/>
    <col min="8168" max="8168" width="15.83203125" style="47" customWidth="1"/>
    <col min="8169" max="8169" width="15.1640625" style="47" customWidth="1"/>
    <col min="8170" max="8228" width="13.6640625" style="47" customWidth="1"/>
    <col min="8229" max="8420" width="9.1640625" style="47"/>
    <col min="8421" max="8421" width="5.5" style="47" customWidth="1"/>
    <col min="8422" max="8422" width="56.5" style="47" customWidth="1"/>
    <col min="8423" max="8423" width="15.33203125" style="47" customWidth="1"/>
    <col min="8424" max="8424" width="15.83203125" style="47" customWidth="1"/>
    <col min="8425" max="8425" width="15.1640625" style="47" customWidth="1"/>
    <col min="8426" max="8484" width="13.6640625" style="47" customWidth="1"/>
    <col min="8485" max="8676" width="9.1640625" style="47"/>
    <col min="8677" max="8677" width="5.5" style="47" customWidth="1"/>
    <col min="8678" max="8678" width="56.5" style="47" customWidth="1"/>
    <col min="8679" max="8679" width="15.33203125" style="47" customWidth="1"/>
    <col min="8680" max="8680" width="15.83203125" style="47" customWidth="1"/>
    <col min="8681" max="8681" width="15.1640625" style="47" customWidth="1"/>
    <col min="8682" max="8740" width="13.6640625" style="47" customWidth="1"/>
    <col min="8741" max="8932" width="9.1640625" style="47"/>
    <col min="8933" max="8933" width="5.5" style="47" customWidth="1"/>
    <col min="8934" max="8934" width="56.5" style="47" customWidth="1"/>
    <col min="8935" max="8935" width="15.33203125" style="47" customWidth="1"/>
    <col min="8936" max="8936" width="15.83203125" style="47" customWidth="1"/>
    <col min="8937" max="8937" width="15.1640625" style="47" customWidth="1"/>
    <col min="8938" max="8996" width="13.6640625" style="47" customWidth="1"/>
    <col min="8997" max="9188" width="9.1640625" style="47"/>
    <col min="9189" max="9189" width="5.5" style="47" customWidth="1"/>
    <col min="9190" max="9190" width="56.5" style="47" customWidth="1"/>
    <col min="9191" max="9191" width="15.33203125" style="47" customWidth="1"/>
    <col min="9192" max="9192" width="15.83203125" style="47" customWidth="1"/>
    <col min="9193" max="9193" width="15.1640625" style="47" customWidth="1"/>
    <col min="9194" max="9252" width="13.6640625" style="47" customWidth="1"/>
    <col min="9253" max="9444" width="9.1640625" style="47"/>
    <col min="9445" max="9445" width="5.5" style="47" customWidth="1"/>
    <col min="9446" max="9446" width="56.5" style="47" customWidth="1"/>
    <col min="9447" max="9447" width="15.33203125" style="47" customWidth="1"/>
    <col min="9448" max="9448" width="15.83203125" style="47" customWidth="1"/>
    <col min="9449" max="9449" width="15.1640625" style="47" customWidth="1"/>
    <col min="9450" max="9508" width="13.6640625" style="47" customWidth="1"/>
    <col min="9509" max="9700" width="9.1640625" style="47"/>
    <col min="9701" max="9701" width="5.5" style="47" customWidth="1"/>
    <col min="9702" max="9702" width="56.5" style="47" customWidth="1"/>
    <col min="9703" max="9703" width="15.33203125" style="47" customWidth="1"/>
    <col min="9704" max="9704" width="15.83203125" style="47" customWidth="1"/>
    <col min="9705" max="9705" width="15.1640625" style="47" customWidth="1"/>
    <col min="9706" max="9764" width="13.6640625" style="47" customWidth="1"/>
    <col min="9765" max="9956" width="9.1640625" style="47"/>
    <col min="9957" max="9957" width="5.5" style="47" customWidth="1"/>
    <col min="9958" max="9958" width="56.5" style="47" customWidth="1"/>
    <col min="9959" max="9959" width="15.33203125" style="47" customWidth="1"/>
    <col min="9960" max="9960" width="15.83203125" style="47" customWidth="1"/>
    <col min="9961" max="9961" width="15.1640625" style="47" customWidth="1"/>
    <col min="9962" max="10020" width="13.6640625" style="47" customWidth="1"/>
    <col min="10021" max="10212" width="9.1640625" style="47"/>
    <col min="10213" max="10213" width="5.5" style="47" customWidth="1"/>
    <col min="10214" max="10214" width="56.5" style="47" customWidth="1"/>
    <col min="10215" max="10215" width="15.33203125" style="47" customWidth="1"/>
    <col min="10216" max="10216" width="15.83203125" style="47" customWidth="1"/>
    <col min="10217" max="10217" width="15.1640625" style="47" customWidth="1"/>
    <col min="10218" max="10276" width="13.6640625" style="47" customWidth="1"/>
    <col min="10277" max="10468" width="9.1640625" style="47"/>
    <col min="10469" max="10469" width="5.5" style="47" customWidth="1"/>
    <col min="10470" max="10470" width="56.5" style="47" customWidth="1"/>
    <col min="10471" max="10471" width="15.33203125" style="47" customWidth="1"/>
    <col min="10472" max="10472" width="15.83203125" style="47" customWidth="1"/>
    <col min="10473" max="10473" width="15.1640625" style="47" customWidth="1"/>
    <col min="10474" max="10532" width="13.6640625" style="47" customWidth="1"/>
    <col min="10533" max="10724" width="9.1640625" style="47"/>
    <col min="10725" max="10725" width="5.5" style="47" customWidth="1"/>
    <col min="10726" max="10726" width="56.5" style="47" customWidth="1"/>
    <col min="10727" max="10727" width="15.33203125" style="47" customWidth="1"/>
    <col min="10728" max="10728" width="15.83203125" style="47" customWidth="1"/>
    <col min="10729" max="10729" width="15.1640625" style="47" customWidth="1"/>
    <col min="10730" max="10788" width="13.6640625" style="47" customWidth="1"/>
    <col min="10789" max="10980" width="9.1640625" style="47"/>
    <col min="10981" max="10981" width="5.5" style="47" customWidth="1"/>
    <col min="10982" max="10982" width="56.5" style="47" customWidth="1"/>
    <col min="10983" max="10983" width="15.33203125" style="47" customWidth="1"/>
    <col min="10984" max="10984" width="15.83203125" style="47" customWidth="1"/>
    <col min="10985" max="10985" width="15.1640625" style="47" customWidth="1"/>
    <col min="10986" max="11044" width="13.6640625" style="47" customWidth="1"/>
    <col min="11045" max="11236" width="9.1640625" style="47"/>
    <col min="11237" max="11237" width="5.5" style="47" customWidth="1"/>
    <col min="11238" max="11238" width="56.5" style="47" customWidth="1"/>
    <col min="11239" max="11239" width="15.33203125" style="47" customWidth="1"/>
    <col min="11240" max="11240" width="15.83203125" style="47" customWidth="1"/>
    <col min="11241" max="11241" width="15.1640625" style="47" customWidth="1"/>
    <col min="11242" max="11300" width="13.6640625" style="47" customWidth="1"/>
    <col min="11301" max="11492" width="9.1640625" style="47"/>
    <col min="11493" max="11493" width="5.5" style="47" customWidth="1"/>
    <col min="11494" max="11494" width="56.5" style="47" customWidth="1"/>
    <col min="11495" max="11495" width="15.33203125" style="47" customWidth="1"/>
    <col min="11496" max="11496" width="15.83203125" style="47" customWidth="1"/>
    <col min="11497" max="11497" width="15.1640625" style="47" customWidth="1"/>
    <col min="11498" max="11556" width="13.6640625" style="47" customWidth="1"/>
    <col min="11557" max="11748" width="9.1640625" style="47"/>
    <col min="11749" max="11749" width="5.5" style="47" customWidth="1"/>
    <col min="11750" max="11750" width="56.5" style="47" customWidth="1"/>
    <col min="11751" max="11751" width="15.33203125" style="47" customWidth="1"/>
    <col min="11752" max="11752" width="15.83203125" style="47" customWidth="1"/>
    <col min="11753" max="11753" width="15.1640625" style="47" customWidth="1"/>
    <col min="11754" max="11812" width="13.6640625" style="47" customWidth="1"/>
    <col min="11813" max="12004" width="9.1640625" style="47"/>
    <col min="12005" max="12005" width="5.5" style="47" customWidth="1"/>
    <col min="12006" max="12006" width="56.5" style="47" customWidth="1"/>
    <col min="12007" max="12007" width="15.33203125" style="47" customWidth="1"/>
    <col min="12008" max="12008" width="15.83203125" style="47" customWidth="1"/>
    <col min="12009" max="12009" width="15.1640625" style="47" customWidth="1"/>
    <col min="12010" max="12068" width="13.6640625" style="47" customWidth="1"/>
    <col min="12069" max="12260" width="9.1640625" style="47"/>
    <col min="12261" max="12261" width="5.5" style="47" customWidth="1"/>
    <col min="12262" max="12262" width="56.5" style="47" customWidth="1"/>
    <col min="12263" max="12263" width="15.33203125" style="47" customWidth="1"/>
    <col min="12264" max="12264" width="15.83203125" style="47" customWidth="1"/>
    <col min="12265" max="12265" width="15.1640625" style="47" customWidth="1"/>
    <col min="12266" max="12324" width="13.6640625" style="47" customWidth="1"/>
    <col min="12325" max="12516" width="9.1640625" style="47"/>
    <col min="12517" max="12517" width="5.5" style="47" customWidth="1"/>
    <col min="12518" max="12518" width="56.5" style="47" customWidth="1"/>
    <col min="12519" max="12519" width="15.33203125" style="47" customWidth="1"/>
    <col min="12520" max="12520" width="15.83203125" style="47" customWidth="1"/>
    <col min="12521" max="12521" width="15.1640625" style="47" customWidth="1"/>
    <col min="12522" max="12580" width="13.6640625" style="47" customWidth="1"/>
    <col min="12581" max="12772" width="9.1640625" style="47"/>
    <col min="12773" max="12773" width="5.5" style="47" customWidth="1"/>
    <col min="12774" max="12774" width="56.5" style="47" customWidth="1"/>
    <col min="12775" max="12775" width="15.33203125" style="47" customWidth="1"/>
    <col min="12776" max="12776" width="15.83203125" style="47" customWidth="1"/>
    <col min="12777" max="12777" width="15.1640625" style="47" customWidth="1"/>
    <col min="12778" max="12836" width="13.6640625" style="47" customWidth="1"/>
    <col min="12837" max="13028" width="9.1640625" style="47"/>
    <col min="13029" max="13029" width="5.5" style="47" customWidth="1"/>
    <col min="13030" max="13030" width="56.5" style="47" customWidth="1"/>
    <col min="13031" max="13031" width="15.33203125" style="47" customWidth="1"/>
    <col min="13032" max="13032" width="15.83203125" style="47" customWidth="1"/>
    <col min="13033" max="13033" width="15.1640625" style="47" customWidth="1"/>
    <col min="13034" max="13092" width="13.6640625" style="47" customWidth="1"/>
    <col min="13093" max="13284" width="9.1640625" style="47"/>
    <col min="13285" max="13285" width="5.5" style="47" customWidth="1"/>
    <col min="13286" max="13286" width="56.5" style="47" customWidth="1"/>
    <col min="13287" max="13287" width="15.33203125" style="47" customWidth="1"/>
    <col min="13288" max="13288" width="15.83203125" style="47" customWidth="1"/>
    <col min="13289" max="13289" width="15.1640625" style="47" customWidth="1"/>
    <col min="13290" max="13348" width="13.6640625" style="47" customWidth="1"/>
    <col min="13349" max="13540" width="9.1640625" style="47"/>
    <col min="13541" max="13541" width="5.5" style="47" customWidth="1"/>
    <col min="13542" max="13542" width="56.5" style="47" customWidth="1"/>
    <col min="13543" max="13543" width="15.33203125" style="47" customWidth="1"/>
    <col min="13544" max="13544" width="15.83203125" style="47" customWidth="1"/>
    <col min="13545" max="13545" width="15.1640625" style="47" customWidth="1"/>
    <col min="13546" max="13604" width="13.6640625" style="47" customWidth="1"/>
    <col min="13605" max="13796" width="9.1640625" style="47"/>
    <col min="13797" max="13797" width="5.5" style="47" customWidth="1"/>
    <col min="13798" max="13798" width="56.5" style="47" customWidth="1"/>
    <col min="13799" max="13799" width="15.33203125" style="47" customWidth="1"/>
    <col min="13800" max="13800" width="15.83203125" style="47" customWidth="1"/>
    <col min="13801" max="13801" width="15.1640625" style="47" customWidth="1"/>
    <col min="13802" max="13860" width="13.6640625" style="47" customWidth="1"/>
    <col min="13861" max="14052" width="9.1640625" style="47"/>
    <col min="14053" max="14053" width="5.5" style="47" customWidth="1"/>
    <col min="14054" max="14054" width="56.5" style="47" customWidth="1"/>
    <col min="14055" max="14055" width="15.33203125" style="47" customWidth="1"/>
    <col min="14056" max="14056" width="15.83203125" style="47" customWidth="1"/>
    <col min="14057" max="14057" width="15.1640625" style="47" customWidth="1"/>
    <col min="14058" max="14116" width="13.6640625" style="47" customWidth="1"/>
    <col min="14117" max="14308" width="9.1640625" style="47"/>
    <col min="14309" max="14309" width="5.5" style="47" customWidth="1"/>
    <col min="14310" max="14310" width="56.5" style="47" customWidth="1"/>
    <col min="14311" max="14311" width="15.33203125" style="47" customWidth="1"/>
    <col min="14312" max="14312" width="15.83203125" style="47" customWidth="1"/>
    <col min="14313" max="14313" width="15.1640625" style="47" customWidth="1"/>
    <col min="14314" max="14372" width="13.6640625" style="47" customWidth="1"/>
    <col min="14373" max="14564" width="9.1640625" style="47"/>
    <col min="14565" max="14565" width="5.5" style="47" customWidth="1"/>
    <col min="14566" max="14566" width="56.5" style="47" customWidth="1"/>
    <col min="14567" max="14567" width="15.33203125" style="47" customWidth="1"/>
    <col min="14568" max="14568" width="15.83203125" style="47" customWidth="1"/>
    <col min="14569" max="14569" width="15.1640625" style="47" customWidth="1"/>
    <col min="14570" max="14628" width="13.6640625" style="47" customWidth="1"/>
    <col min="14629" max="14820" width="9.1640625" style="47"/>
    <col min="14821" max="14821" width="5.5" style="47" customWidth="1"/>
    <col min="14822" max="14822" width="56.5" style="47" customWidth="1"/>
    <col min="14823" max="14823" width="15.33203125" style="47" customWidth="1"/>
    <col min="14824" max="14824" width="15.83203125" style="47" customWidth="1"/>
    <col min="14825" max="14825" width="15.1640625" style="47" customWidth="1"/>
    <col min="14826" max="14884" width="13.6640625" style="47" customWidth="1"/>
    <col min="14885" max="15076" width="9.1640625" style="47"/>
    <col min="15077" max="15077" width="5.5" style="47" customWidth="1"/>
    <col min="15078" max="15078" width="56.5" style="47" customWidth="1"/>
    <col min="15079" max="15079" width="15.33203125" style="47" customWidth="1"/>
    <col min="15080" max="15080" width="15.83203125" style="47" customWidth="1"/>
    <col min="15081" max="15081" width="15.1640625" style="47" customWidth="1"/>
    <col min="15082" max="15140" width="13.6640625" style="47" customWidth="1"/>
    <col min="15141" max="15332" width="9.1640625" style="47"/>
    <col min="15333" max="15333" width="5.5" style="47" customWidth="1"/>
    <col min="15334" max="15334" width="56.5" style="47" customWidth="1"/>
    <col min="15335" max="15335" width="15.33203125" style="47" customWidth="1"/>
    <col min="15336" max="15336" width="15.83203125" style="47" customWidth="1"/>
    <col min="15337" max="15337" width="15.1640625" style="47" customWidth="1"/>
    <col min="15338" max="15396" width="13.6640625" style="47" customWidth="1"/>
    <col min="15397" max="15588" width="9.1640625" style="47"/>
    <col min="15589" max="15589" width="5.5" style="47" customWidth="1"/>
    <col min="15590" max="15590" width="56.5" style="47" customWidth="1"/>
    <col min="15591" max="15591" width="15.33203125" style="47" customWidth="1"/>
    <col min="15592" max="15592" width="15.83203125" style="47" customWidth="1"/>
    <col min="15593" max="15593" width="15.1640625" style="47" customWidth="1"/>
    <col min="15594" max="15652" width="13.6640625" style="47" customWidth="1"/>
    <col min="15653" max="15844" width="9.1640625" style="47"/>
    <col min="15845" max="15845" width="5.5" style="47" customWidth="1"/>
    <col min="15846" max="15846" width="56.5" style="47" customWidth="1"/>
    <col min="15847" max="15847" width="15.33203125" style="47" customWidth="1"/>
    <col min="15848" max="15848" width="15.83203125" style="47" customWidth="1"/>
    <col min="15849" max="15849" width="15.1640625" style="47" customWidth="1"/>
    <col min="15850" max="15908" width="13.6640625" style="47" customWidth="1"/>
    <col min="15909" max="16100" width="9.1640625" style="47"/>
    <col min="16101" max="16101" width="5.5" style="47" customWidth="1"/>
    <col min="16102" max="16102" width="56.5" style="47" customWidth="1"/>
    <col min="16103" max="16103" width="15.33203125" style="47" customWidth="1"/>
    <col min="16104" max="16104" width="15.83203125" style="47" customWidth="1"/>
    <col min="16105" max="16105" width="15.1640625" style="47" customWidth="1"/>
    <col min="16106" max="16164" width="13.6640625" style="47" customWidth="1"/>
    <col min="16165" max="16384" width="9.1640625" style="47"/>
  </cols>
  <sheetData>
    <row r="1" spans="2:36" ht="16">
      <c r="F1" s="12" t="s">
        <v>60</v>
      </c>
    </row>
    <row r="2" spans="2:36" s="11" customFormat="1" ht="16">
      <c r="B2" s="13" t="s">
        <v>114</v>
      </c>
      <c r="C2" s="13"/>
      <c r="D2" s="13"/>
      <c r="E2" s="224" t="s">
        <v>57</v>
      </c>
      <c r="F2" s="14">
        <v>0</v>
      </c>
      <c r="G2" s="14">
        <v>1</v>
      </c>
      <c r="H2" s="14">
        <v>2</v>
      </c>
      <c r="I2" s="14">
        <v>3</v>
      </c>
      <c r="J2" s="14">
        <v>4</v>
      </c>
      <c r="K2" s="14">
        <v>5</v>
      </c>
      <c r="L2" s="14">
        <v>6</v>
      </c>
      <c r="M2" s="14">
        <v>7</v>
      </c>
      <c r="N2" s="14">
        <v>8</v>
      </c>
      <c r="O2" s="14">
        <v>9</v>
      </c>
      <c r="P2" s="14">
        <v>10</v>
      </c>
      <c r="Q2" s="14">
        <v>11</v>
      </c>
      <c r="R2" s="14">
        <v>12</v>
      </c>
      <c r="S2" s="14">
        <v>13</v>
      </c>
      <c r="T2" s="14">
        <v>14</v>
      </c>
      <c r="U2" s="14">
        <v>15</v>
      </c>
      <c r="V2" s="14">
        <v>16</v>
      </c>
      <c r="W2" s="14">
        <v>17</v>
      </c>
      <c r="X2" s="14">
        <v>18</v>
      </c>
      <c r="Y2" s="14">
        <v>19</v>
      </c>
      <c r="Z2" s="14">
        <v>20</v>
      </c>
      <c r="AA2" s="14">
        <v>21</v>
      </c>
      <c r="AB2" s="14">
        <v>22</v>
      </c>
      <c r="AC2" s="14">
        <v>23</v>
      </c>
      <c r="AD2" s="14">
        <v>24</v>
      </c>
      <c r="AE2" s="14">
        <v>25</v>
      </c>
      <c r="AF2" s="14">
        <v>26</v>
      </c>
      <c r="AG2" s="14">
        <v>27</v>
      </c>
      <c r="AH2" s="14">
        <v>28</v>
      </c>
      <c r="AI2" s="14">
        <v>29</v>
      </c>
      <c r="AJ2" s="14">
        <v>30</v>
      </c>
    </row>
    <row r="3" spans="2:36" s="11" customFormat="1" ht="16"/>
    <row r="4" spans="2:36" s="11" customFormat="1" ht="16">
      <c r="B4" s="11" t="s">
        <v>61</v>
      </c>
      <c r="E4" s="61"/>
      <c r="G4" s="290">
        <v>1</v>
      </c>
      <c r="H4" s="15">
        <f>G4*(1-Inputs!$G$10)</f>
        <v>0.995</v>
      </c>
      <c r="I4" s="15">
        <f>H4*(1-Inputs!$G$10)</f>
        <v>0.99002500000000004</v>
      </c>
      <c r="J4" s="15">
        <f>I4*(1-Inputs!$G$10)</f>
        <v>0.98507487500000002</v>
      </c>
      <c r="K4" s="15">
        <f>J4*(1-Inputs!$G$10)</f>
        <v>0.98014950062500006</v>
      </c>
      <c r="L4" s="15">
        <f>K4*(1-Inputs!$G$10)</f>
        <v>0.97524875312187509</v>
      </c>
      <c r="M4" s="15">
        <f>L4*(1-Inputs!$G$10)</f>
        <v>0.97037250935626573</v>
      </c>
      <c r="N4" s="15">
        <f>M4*(1-Inputs!$G$10)</f>
        <v>0.96552064680948435</v>
      </c>
      <c r="O4" s="15">
        <f>N4*(1-Inputs!$G$10)</f>
        <v>0.96069304357543694</v>
      </c>
      <c r="P4" s="15">
        <f>O4*(1-Inputs!$G$10)</f>
        <v>0.95588957835755972</v>
      </c>
      <c r="Q4" s="15">
        <f>P4*(1-Inputs!$G$10)</f>
        <v>0.95111013046577186</v>
      </c>
      <c r="R4" s="15">
        <f>Q4*(1-Inputs!$G$10)</f>
        <v>0.94635457981344295</v>
      </c>
      <c r="S4" s="15">
        <f>R4*(1-Inputs!$G$10)</f>
        <v>0.94162280691437572</v>
      </c>
      <c r="T4" s="15">
        <f>S4*(1-Inputs!$G$10)</f>
        <v>0.93691469287980389</v>
      </c>
      <c r="U4" s="15">
        <f>T4*(1-Inputs!$G$10)</f>
        <v>0.9322301194154049</v>
      </c>
      <c r="V4" s="15">
        <f>U4*(1-Inputs!$G$10)</f>
        <v>0.92756896881832784</v>
      </c>
      <c r="W4" s="15">
        <f>V4*(1-Inputs!$G$10)</f>
        <v>0.92293112397423616</v>
      </c>
      <c r="X4" s="15">
        <f>W4*(1-Inputs!$G$10)</f>
        <v>0.91831646835436498</v>
      </c>
      <c r="Y4" s="15">
        <f>X4*(1-Inputs!$G$10)</f>
        <v>0.91372488601259316</v>
      </c>
      <c r="Z4" s="15">
        <f>Y4*(1-Inputs!$G$10)</f>
        <v>0.90915626158253016</v>
      </c>
      <c r="AA4" s="15">
        <f>Z4*(1-Inputs!$G$10)</f>
        <v>0.90461048027461755</v>
      </c>
      <c r="AB4" s="15">
        <f>AA4*(1-Inputs!$G$10)</f>
        <v>0.90008742787324447</v>
      </c>
      <c r="AC4" s="15">
        <f>AB4*(1-Inputs!$G$10)</f>
        <v>0.89558699073387826</v>
      </c>
      <c r="AD4" s="15">
        <f>AC4*(1-Inputs!$G$10)</f>
        <v>0.89110905578020883</v>
      </c>
      <c r="AE4" s="15">
        <f>AD4*(1-Inputs!$G$10)</f>
        <v>0.88665351050130781</v>
      </c>
      <c r="AF4" s="15">
        <f>AE4*(1-Inputs!$G$10)</f>
        <v>0.8822202429488013</v>
      </c>
      <c r="AG4" s="15">
        <f>AF4*(1-Inputs!$G$10)</f>
        <v>0.87780914173405733</v>
      </c>
      <c r="AH4" s="15">
        <f>AG4*(1-Inputs!$G$10)</f>
        <v>0.87342009602538706</v>
      </c>
      <c r="AI4" s="15">
        <f>AH4*(1-Inputs!$G$10)</f>
        <v>0.86905299554526017</v>
      </c>
      <c r="AJ4" s="15">
        <f>AI4*(1-Inputs!$G$10)</f>
        <v>0.86470773056753381</v>
      </c>
    </row>
    <row r="5" spans="2:36" s="11" customFormat="1" ht="16">
      <c r="B5" s="16" t="s">
        <v>3</v>
      </c>
      <c r="C5" s="16"/>
      <c r="D5" s="16"/>
      <c r="E5" s="61" t="s">
        <v>2</v>
      </c>
      <c r="G5" s="17">
        <f>IF(G$2&gt;Inputs!$G$17,0,'Cash Flow'!G$220)</f>
        <v>112347000</v>
      </c>
      <c r="H5" s="17">
        <f>IF(H$2&gt;Inputs!$G$17,0,'Cash Flow'!H$220)</f>
        <v>111785265</v>
      </c>
      <c r="I5" s="17">
        <f>IF(I$2&gt;Inputs!$G$17,0,'Cash Flow'!I$220)</f>
        <v>111226338.67499998</v>
      </c>
      <c r="J5" s="17">
        <f>IF(J$2&gt;Inputs!$G$17,0,'Cash Flow'!J$220)</f>
        <v>110670206.98162499</v>
      </c>
      <c r="K5" s="17">
        <f>IF(K$2&gt;Inputs!$G$17,0,'Cash Flow'!K$220)</f>
        <v>110116855.94671687</v>
      </c>
      <c r="L5" s="17">
        <f>IF(L$2&gt;Inputs!$G$17,0,'Cash Flow'!L$220)</f>
        <v>109566271.66698329</v>
      </c>
      <c r="M5" s="17">
        <f>IF(M$2&gt;Inputs!$G$17,0,'Cash Flow'!M$220)</f>
        <v>109018440.30864838</v>
      </c>
      <c r="N5" s="17">
        <f>IF(N$2&gt;Inputs!$G$17,0,'Cash Flow'!N$220)</f>
        <v>108473348.10710512</v>
      </c>
      <c r="O5" s="17">
        <f>IF(O$2&gt;Inputs!$G$17,0,'Cash Flow'!O$220)</f>
        <v>107930981.36656959</v>
      </c>
      <c r="P5" s="17">
        <f>IF(P$2&gt;Inputs!$G$17,0,'Cash Flow'!P$220)</f>
        <v>107391326.45973675</v>
      </c>
      <c r="Q5" s="17">
        <f>IF(Q$2&gt;Inputs!$G$17,0,'Cash Flow'!Q$220)</f>
        <v>106854369.82743807</v>
      </c>
      <c r="R5" s="17">
        <f>IF(R$2&gt;Inputs!$G$17,0,'Cash Flow'!R$220)</f>
        <v>105444544.59555131</v>
      </c>
      <c r="S5" s="17">
        <f>IF(S$2&gt;Inputs!$G$17,0,'Cash Flow'!S$220)</f>
        <v>102281208.25768477</v>
      </c>
      <c r="T5" s="17">
        <f>IF(T$2&gt;Inputs!$G$17,0,'Cash Flow'!T$220)</f>
        <v>99212772.009954214</v>
      </c>
      <c r="U5" s="17">
        <f>IF(U$2&gt;Inputs!$G$17,0,'Cash Flow'!U$220)</f>
        <v>96236388.849655584</v>
      </c>
      <c r="V5" s="17">
        <f>IF(V$2&gt;Inputs!$G$17,0,'Cash Flow'!V$220)</f>
        <v>93349297.18416591</v>
      </c>
      <c r="W5" s="17">
        <f>IF(W$2&gt;Inputs!$G$17,0,'Cash Flow'!W$220)</f>
        <v>90548818.268640935</v>
      </c>
      <c r="X5" s="17">
        <f>IF(X$2&gt;Inputs!$G$17,0,'Cash Flow'!X$220)</f>
        <v>87832353.72058171</v>
      </c>
      <c r="Y5" s="17">
        <f>IF(Y$2&gt;Inputs!$G$17,0,'Cash Flow'!Y$220)</f>
        <v>85197383.108964249</v>
      </c>
      <c r="Z5" s="17">
        <f>IF(Z$2&gt;Inputs!$G$17,0,'Cash Flow'!Z$220)</f>
        <v>93706724.773590058</v>
      </c>
      <c r="AA5" s="17">
        <f>IF(AA$2&gt;Inputs!$G$17,0,'Cash Flow'!AA$220)</f>
        <v>90895523.03038235</v>
      </c>
      <c r="AB5" s="17">
        <f>IF(AB$2&gt;Inputs!$G$17,0,'Cash Flow'!AB$220)</f>
        <v>88168657.339470878</v>
      </c>
      <c r="AC5" s="17">
        <f>IF(AC$2&gt;Inputs!$G$17,0,'Cash Flow'!AC$220)</f>
        <v>85523597.619286746</v>
      </c>
      <c r="AD5" s="17">
        <f>IF(AD$2&gt;Inputs!$G$17,0,'Cash Flow'!AD$220)</f>
        <v>82957889.690708145</v>
      </c>
      <c r="AE5" s="17">
        <f>IF(AE$2&gt;Inputs!$G$17,0,'Cash Flow'!AE$220)</f>
        <v>80469152.999986902</v>
      </c>
      <c r="AF5" s="17">
        <f>IF(AF$2&gt;Inputs!$G$17,0,'Cash Flow'!AF$220)</f>
        <v>0</v>
      </c>
      <c r="AG5" s="17">
        <f>IF(AG$2&gt;Inputs!$G$17,0,'Cash Flow'!AG$220)</f>
        <v>0</v>
      </c>
      <c r="AH5" s="17">
        <f>IF(AH$2&gt;Inputs!$G$17,0,'Cash Flow'!AH$220)</f>
        <v>0</v>
      </c>
      <c r="AI5" s="17">
        <f>IF(AI$2&gt;Inputs!$G$17,0,'Cash Flow'!AI$220)</f>
        <v>0</v>
      </c>
      <c r="AJ5" s="17">
        <f>IF(AJ$2&gt;Inputs!$G$17,0,'Cash Flow'!AJ$220)</f>
        <v>0</v>
      </c>
    </row>
    <row r="6" spans="2:36" s="11" customFormat="1" ht="16">
      <c r="B6" s="16"/>
      <c r="C6" s="16"/>
      <c r="D6" s="16"/>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2:36" s="11" customFormat="1" ht="16">
      <c r="B7" s="16" t="s">
        <v>93</v>
      </c>
      <c r="C7" s="16"/>
      <c r="D7" s="16"/>
      <c r="E7" s="61"/>
    </row>
    <row r="8" spans="2:36" s="11" customFormat="1" ht="16">
      <c r="B8" s="11" t="s">
        <v>95</v>
      </c>
      <c r="E8" s="61"/>
      <c r="G8" s="290">
        <v>1</v>
      </c>
      <c r="H8" s="15">
        <f>G8*(1+(Inputs!$Q$8*Inputs!$Q$7))</f>
        <v>1</v>
      </c>
      <c r="I8" s="15">
        <f>H8*(1+(Inputs!$Q$8*Inputs!$Q$7))</f>
        <v>1</v>
      </c>
      <c r="J8" s="15">
        <f>I8*(1+(Inputs!$Q$8*Inputs!$Q$7))</f>
        <v>1</v>
      </c>
      <c r="K8" s="15">
        <f>J8*(1+(Inputs!$Q$8*Inputs!$Q$7))</f>
        <v>1</v>
      </c>
      <c r="L8" s="15">
        <f>K8*(1+(Inputs!$Q$8*Inputs!$Q$7))</f>
        <v>1</v>
      </c>
      <c r="M8" s="15">
        <f>L8*(1+(Inputs!$Q$8*Inputs!$Q$7))</f>
        <v>1</v>
      </c>
      <c r="N8" s="15">
        <f>M8*(1+(Inputs!$Q$8*Inputs!$Q$7))</f>
        <v>1</v>
      </c>
      <c r="O8" s="15">
        <f>N8*(1+(Inputs!$Q$8*Inputs!$Q$7))</f>
        <v>1</v>
      </c>
      <c r="P8" s="15">
        <f>O8*(1+(Inputs!$Q$8*Inputs!$Q$7))</f>
        <v>1</v>
      </c>
      <c r="Q8" s="15">
        <f>P8*(1+(Inputs!$Q$8*Inputs!$Q$7))</f>
        <v>1</v>
      </c>
      <c r="R8" s="15">
        <f>Q8*(1+(Inputs!$Q$8*Inputs!$Q$7))</f>
        <v>1</v>
      </c>
      <c r="S8" s="15">
        <f>R8*(1+(Inputs!$Q$8*Inputs!$Q$7))</f>
        <v>1</v>
      </c>
      <c r="T8" s="15">
        <f>S8*(1+(Inputs!$Q$8*Inputs!$Q$7))</f>
        <v>1</v>
      </c>
      <c r="U8" s="15">
        <f>T8*(1+(Inputs!$Q$8*Inputs!$Q$7))</f>
        <v>1</v>
      </c>
      <c r="V8" s="15">
        <f>U8*(1+(Inputs!$Q$8*Inputs!$Q$7))</f>
        <v>1</v>
      </c>
      <c r="W8" s="15">
        <f>V8*(1+(Inputs!$Q$8*Inputs!$Q$7))</f>
        <v>1</v>
      </c>
      <c r="X8" s="15">
        <f>W8*(1+(Inputs!$Q$8*Inputs!$Q$7))</f>
        <v>1</v>
      </c>
      <c r="Y8" s="15">
        <f>X8*(1+(Inputs!$Q$8*Inputs!$Q$7))</f>
        <v>1</v>
      </c>
      <c r="Z8" s="15">
        <f>Y8*(1+(Inputs!$Q$8*Inputs!$Q$7))</f>
        <v>1</v>
      </c>
      <c r="AA8" s="15">
        <f>Z8*(1+(Inputs!$Q$8*Inputs!$Q$7))</f>
        <v>1</v>
      </c>
      <c r="AB8" s="15">
        <f>AA8*(1+(Inputs!$Q$8*Inputs!$Q$7))</f>
        <v>1</v>
      </c>
      <c r="AC8" s="15">
        <f>AB8*(1+(Inputs!$Q$8*Inputs!$Q$7))</f>
        <v>1</v>
      </c>
      <c r="AD8" s="15">
        <f>AC8*(1+(Inputs!$Q$8*Inputs!$Q$7))</f>
        <v>1</v>
      </c>
      <c r="AE8" s="15">
        <f>AD8*(1+(Inputs!$Q$8*Inputs!$Q$7))</f>
        <v>1</v>
      </c>
      <c r="AF8" s="15">
        <f>AE8*(1+(Inputs!$Q$8*Inputs!$Q$7))</f>
        <v>1</v>
      </c>
      <c r="AG8" s="15">
        <f>AF8*(1+(Inputs!$Q$8*Inputs!$Q$7))</f>
        <v>1</v>
      </c>
      <c r="AH8" s="15">
        <f>AG8*(1+(Inputs!$Q$8*Inputs!$Q$7))</f>
        <v>1</v>
      </c>
      <c r="AI8" s="15">
        <f>AH8*(1+(Inputs!$Q$8*Inputs!$Q$7))</f>
        <v>1</v>
      </c>
      <c r="AJ8" s="15">
        <f>AI8*(1+(Inputs!$Q$8*Inputs!$Q$7))</f>
        <v>1</v>
      </c>
    </row>
    <row r="9" spans="2:36" s="11" customFormat="1" ht="16">
      <c r="B9" s="11" t="s">
        <v>127</v>
      </c>
      <c r="E9" s="61"/>
      <c r="G9" s="290">
        <v>1</v>
      </c>
      <c r="H9" s="15">
        <f>G9*(1+Inputs!$Q$64)</f>
        <v>1.02</v>
      </c>
      <c r="I9" s="15">
        <f>H9*(1+Inputs!$Q$64)</f>
        <v>1.0404</v>
      </c>
      <c r="J9" s="15">
        <f>I9*(1+Inputs!$Q$64)</f>
        <v>1.0612079999999999</v>
      </c>
      <c r="K9" s="15">
        <f>J9*(1+Inputs!$Q$64)</f>
        <v>1.08243216</v>
      </c>
      <c r="L9" s="15">
        <f>K9*(1+Inputs!$Q$64)</f>
        <v>1.1040808032</v>
      </c>
      <c r="M9" s="15">
        <f>L9*(1+Inputs!$Q$64)</f>
        <v>1.1261624192640001</v>
      </c>
      <c r="N9" s="15">
        <f>M9*(1+Inputs!$Q$64)</f>
        <v>1.14868566764928</v>
      </c>
      <c r="O9" s="15">
        <f>N9*(1+Inputs!$Q$64)</f>
        <v>1.1716593810022657</v>
      </c>
      <c r="P9" s="15">
        <f>O9*(1+Inputs!$Q$64)</f>
        <v>1.1950925686223111</v>
      </c>
      <c r="Q9" s="15">
        <f>P9*(1+Inputs!$Q$64)</f>
        <v>1.2189944199947573</v>
      </c>
      <c r="R9" s="15">
        <f>Q9*(1+Inputs!$Q$64)</f>
        <v>1.2433743083946525</v>
      </c>
      <c r="S9" s="15">
        <f>R9*(1+Inputs!$Q$64)</f>
        <v>1.2682417945625455</v>
      </c>
      <c r="T9" s="15">
        <f>S9*(1+Inputs!$Q$64)</f>
        <v>1.2936066304537963</v>
      </c>
      <c r="U9" s="15">
        <f>T9*(1+Inputs!$Q$64)</f>
        <v>1.3194787630628724</v>
      </c>
      <c r="V9" s="15">
        <f>U9*(1+Inputs!$Q$64)</f>
        <v>1.3458683383241299</v>
      </c>
      <c r="W9" s="15">
        <f>V9*(1+Inputs!$Q$64)</f>
        <v>1.3727857050906125</v>
      </c>
      <c r="X9" s="15">
        <f>W9*(1+Inputs!$Q$64)</f>
        <v>1.4002414191924248</v>
      </c>
      <c r="Y9" s="15">
        <f>X9*(1+Inputs!$Q$64)</f>
        <v>1.4282462475762734</v>
      </c>
      <c r="Z9" s="15">
        <f>Y9*(1+Inputs!$Q$64)</f>
        <v>1.4568111725277988</v>
      </c>
      <c r="AA9" s="15">
        <f>Z9*(1+Inputs!$Q$64)</f>
        <v>1.4859473959783549</v>
      </c>
      <c r="AB9" s="15">
        <f>AA9*(1+Inputs!$Q$64)</f>
        <v>1.5156663438979221</v>
      </c>
      <c r="AC9" s="15">
        <f>AB9*(1+Inputs!$Q$64)</f>
        <v>1.5459796707758806</v>
      </c>
      <c r="AD9" s="15">
        <f>AC9*(1+Inputs!$Q$64)</f>
        <v>1.5768992641913981</v>
      </c>
      <c r="AE9" s="15">
        <f>AD9*(1+Inputs!$Q$64)</f>
        <v>1.6084372494752261</v>
      </c>
      <c r="AF9" s="15">
        <f>AE9*(1+Inputs!$Q$64)</f>
        <v>1.6406059944647307</v>
      </c>
      <c r="AG9" s="15">
        <f>AF9*(1+Inputs!$Q$64)</f>
        <v>1.6734181143540252</v>
      </c>
      <c r="AH9" s="15">
        <f>AG9*(1+Inputs!$Q$64)</f>
        <v>1.7068864766411058</v>
      </c>
      <c r="AI9" s="15">
        <f>AH9*(1+Inputs!$Q$64)</f>
        <v>1.7410242061739281</v>
      </c>
      <c r="AJ9" s="15">
        <f>AI9*(1+Inputs!$Q$64)</f>
        <v>1.7758446902974065</v>
      </c>
    </row>
    <row r="10" spans="2:36" s="11" customFormat="1" ht="16">
      <c r="B10" s="11" t="s">
        <v>128</v>
      </c>
      <c r="E10" s="61"/>
      <c r="G10" s="290">
        <v>1</v>
      </c>
      <c r="H10" s="15">
        <f>G10*(1+Inputs!$Q$80)</f>
        <v>1.02</v>
      </c>
      <c r="I10" s="15">
        <f>H10*(1+Inputs!$Q$80)</f>
        <v>1.0404</v>
      </c>
      <c r="J10" s="15">
        <f>I10*(1+Inputs!$Q$80)</f>
        <v>1.0612079999999999</v>
      </c>
      <c r="K10" s="15">
        <f>J10*(1+Inputs!$Q$80)</f>
        <v>1.08243216</v>
      </c>
      <c r="L10" s="15">
        <f>K10*(1+Inputs!$Q$80)</f>
        <v>1.1040808032</v>
      </c>
      <c r="M10" s="15">
        <f>L10*(1+Inputs!$Q$80)</f>
        <v>1.1261624192640001</v>
      </c>
      <c r="N10" s="15">
        <f>M10*(1+Inputs!$Q$80)</f>
        <v>1.14868566764928</v>
      </c>
      <c r="O10" s="15">
        <f>N10*(1+Inputs!$Q$80)</f>
        <v>1.1716593810022657</v>
      </c>
      <c r="P10" s="15">
        <f>O10*(1+Inputs!$Q$80)</f>
        <v>1.1950925686223111</v>
      </c>
      <c r="Q10" s="15">
        <f>P10*(1+Inputs!$Q$80)</f>
        <v>1.2189944199947573</v>
      </c>
      <c r="R10" s="15">
        <f>Q10*(1+Inputs!$Q$80)</f>
        <v>1.2433743083946525</v>
      </c>
      <c r="S10" s="15">
        <f>R10*(1+Inputs!$Q$80)</f>
        <v>1.2682417945625455</v>
      </c>
      <c r="T10" s="15">
        <f>S10*(1+Inputs!$Q$80)</f>
        <v>1.2936066304537963</v>
      </c>
      <c r="U10" s="15">
        <f>T10*(1+Inputs!$Q$80)</f>
        <v>1.3194787630628724</v>
      </c>
      <c r="V10" s="15">
        <f>U10*(1+Inputs!$Q$80)</f>
        <v>1.3458683383241299</v>
      </c>
      <c r="W10" s="15">
        <f>V10*(1+Inputs!$Q$80)</f>
        <v>1.3727857050906125</v>
      </c>
      <c r="X10" s="15">
        <f>W10*(1+Inputs!$Q$80)</f>
        <v>1.4002414191924248</v>
      </c>
      <c r="Y10" s="15">
        <f>X10*(1+Inputs!$Q$80)</f>
        <v>1.4282462475762734</v>
      </c>
      <c r="Z10" s="15">
        <f>Y10*(1+Inputs!$Q$80)</f>
        <v>1.4568111725277988</v>
      </c>
      <c r="AA10" s="15">
        <f>Z10*(1+Inputs!$Q$80)</f>
        <v>1.4859473959783549</v>
      </c>
      <c r="AB10" s="15">
        <f>AA10*(1+Inputs!$Q$80)</f>
        <v>1.5156663438979221</v>
      </c>
      <c r="AC10" s="15">
        <f>AB10*(1+Inputs!$Q$80)</f>
        <v>1.5459796707758806</v>
      </c>
      <c r="AD10" s="15">
        <f>AC10*(1+Inputs!$Q$80)</f>
        <v>1.5768992641913981</v>
      </c>
      <c r="AE10" s="15">
        <f>AD10*(1+Inputs!$Q$80)</f>
        <v>1.6084372494752261</v>
      </c>
      <c r="AF10" s="15">
        <f>AE10*(1+Inputs!$Q$80)</f>
        <v>1.6406059944647307</v>
      </c>
      <c r="AG10" s="15">
        <f>AF10*(1+Inputs!$Q$80)</f>
        <v>1.6734181143540252</v>
      </c>
      <c r="AH10" s="15">
        <f>AG10*(1+Inputs!$Q$80)</f>
        <v>1.7068864766411058</v>
      </c>
      <c r="AI10" s="15">
        <f>AH10*(1+Inputs!$Q$80)</f>
        <v>1.7410242061739281</v>
      </c>
      <c r="AJ10" s="15">
        <f>AI10*(1+Inputs!$Q$80)</f>
        <v>1.7758446902974065</v>
      </c>
    </row>
    <row r="11" spans="2:36" s="11" customFormat="1" ht="16">
      <c r="E11" s="61"/>
      <c r="F11" s="61"/>
      <c r="G11" s="70"/>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2:36" s="11" customFormat="1" ht="16">
      <c r="B12" s="18" t="s">
        <v>228</v>
      </c>
      <c r="C12" s="18"/>
      <c r="D12" s="18"/>
      <c r="E12" s="61" t="s">
        <v>48</v>
      </c>
      <c r="F12" s="320">
        <f>1-F13</f>
        <v>1</v>
      </c>
      <c r="G12" s="72">
        <f>$G$75*$F12</f>
        <v>18.550000000000008</v>
      </c>
      <c r="H12" s="72">
        <f>IF(H2&gt;Inputs!$Q$6,0,G12)</f>
        <v>18.550000000000008</v>
      </c>
      <c r="I12" s="72">
        <f>IF(I2&gt;Inputs!$Q$6,0,H12)</f>
        <v>18.550000000000008</v>
      </c>
      <c r="J12" s="72">
        <f>IF(J2&gt;Inputs!$Q$6,0,I12)</f>
        <v>18.550000000000008</v>
      </c>
      <c r="K12" s="72">
        <f>IF(K2&gt;Inputs!$Q$6,0,J12)</f>
        <v>18.550000000000008</v>
      </c>
      <c r="L12" s="72">
        <f>IF(L2&gt;Inputs!$Q$6,0,K12)</f>
        <v>18.550000000000008</v>
      </c>
      <c r="M12" s="72">
        <f>IF(M2&gt;Inputs!$Q$6,0,L12)</f>
        <v>18.550000000000008</v>
      </c>
      <c r="N12" s="72">
        <f>IF(N2&gt;Inputs!$Q$6,0,M12)</f>
        <v>18.550000000000008</v>
      </c>
      <c r="O12" s="72">
        <f>IF(O2&gt;Inputs!$Q$6,0,N12)</f>
        <v>18.550000000000008</v>
      </c>
      <c r="P12" s="72">
        <f>IF(P2&gt;Inputs!$Q$6,0,O12)</f>
        <v>18.550000000000008</v>
      </c>
      <c r="Q12" s="72">
        <f>IF(Q2&gt;Inputs!$Q$6,0,P12)</f>
        <v>18.550000000000008</v>
      </c>
      <c r="R12" s="72">
        <f>IF(R2&gt;Inputs!$Q$6,0,Q12)</f>
        <v>18.550000000000008</v>
      </c>
      <c r="S12" s="72">
        <f>IF(S2&gt;Inputs!$Q$6,0,R12)</f>
        <v>18.550000000000008</v>
      </c>
      <c r="T12" s="72">
        <f>IF(T2&gt;Inputs!$Q$6,0,S12)</f>
        <v>18.550000000000008</v>
      </c>
      <c r="U12" s="72">
        <f>IF(U2&gt;Inputs!$Q$6,0,T12)</f>
        <v>18.550000000000008</v>
      </c>
      <c r="V12" s="72">
        <f>IF(V2&gt;Inputs!$Q$6,0,U12)</f>
        <v>18.550000000000008</v>
      </c>
      <c r="W12" s="72">
        <f>IF(W2&gt;Inputs!$Q$6,0,V12)</f>
        <v>18.550000000000008</v>
      </c>
      <c r="X12" s="72">
        <f>IF(X2&gt;Inputs!$Q$6,0,W12)</f>
        <v>18.550000000000008</v>
      </c>
      <c r="Y12" s="72">
        <f>IF(Y2&gt;Inputs!$Q$6,0,X12)</f>
        <v>18.550000000000008</v>
      </c>
      <c r="Z12" s="72">
        <f>IF(Z2&gt;Inputs!$Q$6,0,Y12)</f>
        <v>18.550000000000008</v>
      </c>
      <c r="AA12" s="72">
        <f>IF(AA2&gt;Inputs!$Q$6,0,Z12)</f>
        <v>0</v>
      </c>
      <c r="AB12" s="72">
        <f>IF(AB2&gt;Inputs!$Q$6,0,AA12)</f>
        <v>0</v>
      </c>
      <c r="AC12" s="72">
        <f>IF(AC2&gt;Inputs!$Q$6,0,AB12)</f>
        <v>0</v>
      </c>
      <c r="AD12" s="72">
        <f>IF(AD2&gt;Inputs!$Q$6,0,AC12)</f>
        <v>0</v>
      </c>
      <c r="AE12" s="72">
        <f>IF(AE2&gt;Inputs!$Q$6,0,AD12)</f>
        <v>0</v>
      </c>
      <c r="AF12" s="72">
        <f>IF(AF2&gt;Inputs!$Q$6,0,AE12)</f>
        <v>0</v>
      </c>
      <c r="AG12" s="72">
        <f>IF(AG2&gt;Inputs!$Q$6,0,AF12)</f>
        <v>0</v>
      </c>
      <c r="AH12" s="72">
        <f>IF(AH2&gt;Inputs!$Q$6,0,AG12)</f>
        <v>0</v>
      </c>
      <c r="AI12" s="72">
        <f>IF(AI2&gt;Inputs!$Q$6,0,AH12)</f>
        <v>0</v>
      </c>
      <c r="AJ12" s="72">
        <f>IF(AJ2&gt;Inputs!$Q$6,0,AI12)</f>
        <v>0</v>
      </c>
    </row>
    <row r="13" spans="2:36" s="11" customFormat="1" ht="16">
      <c r="B13" s="321" t="s">
        <v>230</v>
      </c>
      <c r="C13" s="321"/>
      <c r="D13" s="321"/>
      <c r="E13" s="61" t="s">
        <v>48</v>
      </c>
      <c r="F13" s="319">
        <f>Inputs!Q7</f>
        <v>0</v>
      </c>
      <c r="G13" s="322">
        <f>$G$75*$F13</f>
        <v>0</v>
      </c>
      <c r="H13" s="322">
        <f>IF(H2&gt;Inputs!$Q$6,0,G13*(1+Inputs!$Q$8))</f>
        <v>0</v>
      </c>
      <c r="I13" s="322">
        <f>IF(I2&gt;Inputs!$Q$6,0,H13*(1+Inputs!$Q$8))</f>
        <v>0</v>
      </c>
      <c r="J13" s="322">
        <f>IF(J2&gt;Inputs!$Q$6,0,I13*(1+Inputs!$Q$8))</f>
        <v>0</v>
      </c>
      <c r="K13" s="322">
        <f>IF(K2&gt;Inputs!$Q$6,0,J13*(1+Inputs!$Q$8))</f>
        <v>0</v>
      </c>
      <c r="L13" s="322">
        <f>IF(L2&gt;Inputs!$Q$6,0,K13*(1+Inputs!$Q$8))</f>
        <v>0</v>
      </c>
      <c r="M13" s="322">
        <f>IF(M2&gt;Inputs!$Q$6,0,L13*(1+Inputs!$Q$8))</f>
        <v>0</v>
      </c>
      <c r="N13" s="322">
        <f>IF(N2&gt;Inputs!$Q$6,0,M13*(1+Inputs!$Q$8))</f>
        <v>0</v>
      </c>
      <c r="O13" s="322">
        <f>IF(O2&gt;Inputs!$Q$6,0,N13*(1+Inputs!$Q$8))</f>
        <v>0</v>
      </c>
      <c r="P13" s="322">
        <f>IF(P2&gt;Inputs!$Q$6,0,O13*(1+Inputs!$Q$8))</f>
        <v>0</v>
      </c>
      <c r="Q13" s="322">
        <f>IF(Q2&gt;Inputs!$Q$6,0,P13*(1+Inputs!$Q$8))</f>
        <v>0</v>
      </c>
      <c r="R13" s="322">
        <f>IF(R2&gt;Inputs!$Q$6,0,Q13*(1+Inputs!$Q$8))</f>
        <v>0</v>
      </c>
      <c r="S13" s="322">
        <f>IF(S2&gt;Inputs!$Q$6,0,R13*(1+Inputs!$Q$8))</f>
        <v>0</v>
      </c>
      <c r="T13" s="322">
        <f>IF(T2&gt;Inputs!$Q$6,0,S13*(1+Inputs!$Q$8))</f>
        <v>0</v>
      </c>
      <c r="U13" s="322">
        <f>IF(U2&gt;Inputs!$Q$6,0,T13*(1+Inputs!$Q$8))</f>
        <v>0</v>
      </c>
      <c r="V13" s="322">
        <f>IF(V2&gt;Inputs!$Q$6,0,U13*(1+Inputs!$Q$8))</f>
        <v>0</v>
      </c>
      <c r="W13" s="322">
        <f>IF(W2&gt;Inputs!$Q$6,0,V13*(1+Inputs!$Q$8))</f>
        <v>0</v>
      </c>
      <c r="X13" s="322">
        <f>IF(X2&gt;Inputs!$Q$6,0,W13*(1+Inputs!$Q$8))</f>
        <v>0</v>
      </c>
      <c r="Y13" s="322">
        <f>IF(Y2&gt;Inputs!$Q$6,0,X13*(1+Inputs!$Q$8))</f>
        <v>0</v>
      </c>
      <c r="Z13" s="322">
        <f>IF(Z2&gt;Inputs!$Q$6,0,Y13*(1+Inputs!$Q$8))</f>
        <v>0</v>
      </c>
      <c r="AA13" s="322">
        <f>IF(AA2&gt;Inputs!$Q$6,0,Z13*(1+Inputs!$Q$8))</f>
        <v>0</v>
      </c>
      <c r="AB13" s="322">
        <f>IF(AB2&gt;Inputs!$Q$6,0,AA13*(1+Inputs!$Q$8))</f>
        <v>0</v>
      </c>
      <c r="AC13" s="322">
        <f>IF(AC2&gt;Inputs!$Q$6,0,AB13*(1+Inputs!$Q$8))</f>
        <v>0</v>
      </c>
      <c r="AD13" s="322">
        <f>IF(AD2&gt;Inputs!$Q$6,0,AC13*(1+Inputs!$Q$8))</f>
        <v>0</v>
      </c>
      <c r="AE13" s="322">
        <f>IF(AE2&gt;Inputs!$Q$6,0,AD13*(1+Inputs!$Q$8))</f>
        <v>0</v>
      </c>
      <c r="AF13" s="322">
        <f>IF(AF2&gt;Inputs!$Q$6,0,AE13*(1+Inputs!$Q$8))</f>
        <v>0</v>
      </c>
      <c r="AG13" s="322">
        <f>IF(AG2&gt;Inputs!$Q$6,0,AF13*(1+Inputs!$Q$8))</f>
        <v>0</v>
      </c>
      <c r="AH13" s="322">
        <f>IF(AH2&gt;Inputs!$Q$6,0,AG13*(1+Inputs!$Q$8))</f>
        <v>0</v>
      </c>
      <c r="AI13" s="322">
        <f>IF(AI2&gt;Inputs!$Q$6,0,AH13*(1+Inputs!$Q$8))</f>
        <v>0</v>
      </c>
      <c r="AJ13" s="322">
        <f>IF(AJ2&gt;Inputs!$Q$6,0,AI13*(1+Inputs!$Q$8))</f>
        <v>0</v>
      </c>
    </row>
    <row r="14" spans="2:36" s="11" customFormat="1" ht="16">
      <c r="B14" s="18" t="s">
        <v>229</v>
      </c>
      <c r="C14" s="18"/>
      <c r="D14" s="18"/>
      <c r="E14" s="61" t="s">
        <v>48</v>
      </c>
      <c r="F14" s="75"/>
      <c r="G14" s="72">
        <f>SUM(G12:G13)</f>
        <v>18.550000000000008</v>
      </c>
      <c r="H14" s="72">
        <f t="shared" ref="H14:AJ14" si="0">SUM(H12:H13)</f>
        <v>18.550000000000008</v>
      </c>
      <c r="I14" s="72">
        <f t="shared" si="0"/>
        <v>18.550000000000008</v>
      </c>
      <c r="J14" s="72">
        <f t="shared" si="0"/>
        <v>18.550000000000008</v>
      </c>
      <c r="K14" s="72">
        <f t="shared" si="0"/>
        <v>18.550000000000008</v>
      </c>
      <c r="L14" s="72">
        <f t="shared" si="0"/>
        <v>18.550000000000008</v>
      </c>
      <c r="M14" s="72">
        <f t="shared" si="0"/>
        <v>18.550000000000008</v>
      </c>
      <c r="N14" s="72">
        <f t="shared" si="0"/>
        <v>18.550000000000008</v>
      </c>
      <c r="O14" s="72">
        <f t="shared" si="0"/>
        <v>18.550000000000008</v>
      </c>
      <c r="P14" s="72">
        <f t="shared" si="0"/>
        <v>18.550000000000008</v>
      </c>
      <c r="Q14" s="72">
        <f t="shared" si="0"/>
        <v>18.550000000000008</v>
      </c>
      <c r="R14" s="72">
        <f t="shared" si="0"/>
        <v>18.550000000000008</v>
      </c>
      <c r="S14" s="72">
        <f t="shared" si="0"/>
        <v>18.550000000000008</v>
      </c>
      <c r="T14" s="72">
        <f t="shared" si="0"/>
        <v>18.550000000000008</v>
      </c>
      <c r="U14" s="72">
        <f t="shared" si="0"/>
        <v>18.550000000000008</v>
      </c>
      <c r="V14" s="72">
        <f t="shared" si="0"/>
        <v>18.550000000000008</v>
      </c>
      <c r="W14" s="72">
        <f t="shared" si="0"/>
        <v>18.550000000000008</v>
      </c>
      <c r="X14" s="72">
        <f t="shared" si="0"/>
        <v>18.550000000000008</v>
      </c>
      <c r="Y14" s="72">
        <f t="shared" si="0"/>
        <v>18.550000000000008</v>
      </c>
      <c r="Z14" s="72">
        <f t="shared" si="0"/>
        <v>18.550000000000008</v>
      </c>
      <c r="AA14" s="72">
        <f t="shared" si="0"/>
        <v>0</v>
      </c>
      <c r="AB14" s="72">
        <f t="shared" si="0"/>
        <v>0</v>
      </c>
      <c r="AC14" s="72">
        <f t="shared" si="0"/>
        <v>0</v>
      </c>
      <c r="AD14" s="72">
        <f t="shared" si="0"/>
        <v>0</v>
      </c>
      <c r="AE14" s="72">
        <f t="shared" si="0"/>
        <v>0</v>
      </c>
      <c r="AF14" s="72">
        <f t="shared" si="0"/>
        <v>0</v>
      </c>
      <c r="AG14" s="72">
        <f t="shared" si="0"/>
        <v>0</v>
      </c>
      <c r="AH14" s="72">
        <f t="shared" si="0"/>
        <v>0</v>
      </c>
      <c r="AI14" s="72">
        <f t="shared" si="0"/>
        <v>0</v>
      </c>
      <c r="AJ14" s="72">
        <f t="shared" si="0"/>
        <v>0</v>
      </c>
    </row>
    <row r="15" spans="2:36" s="11" customFormat="1" ht="16">
      <c r="B15" s="18" t="s">
        <v>96</v>
      </c>
      <c r="C15" s="18"/>
      <c r="D15" s="18"/>
      <c r="E15" s="59" t="s">
        <v>0</v>
      </c>
      <c r="F15" s="18"/>
      <c r="G15" s="19">
        <f>(G$14*G$5)/100</f>
        <v>20840368.500000011</v>
      </c>
      <c r="H15" s="19">
        <f t="shared" ref="H15:AJ15" si="1">(H$14*H$5)/100</f>
        <v>20736166.65750001</v>
      </c>
      <c r="I15" s="19">
        <f t="shared" si="1"/>
        <v>20632485.824212506</v>
      </c>
      <c r="J15" s="19">
        <f t="shared" si="1"/>
        <v>20529323.395091444</v>
      </c>
      <c r="K15" s="19">
        <f t="shared" si="1"/>
        <v>20426676.778115988</v>
      </c>
      <c r="L15" s="19">
        <f t="shared" si="1"/>
        <v>20324543.394225407</v>
      </c>
      <c r="M15" s="19">
        <f t="shared" si="1"/>
        <v>20222920.677254282</v>
      </c>
      <c r="N15" s="19">
        <f t="shared" si="1"/>
        <v>20121806.073868006</v>
      </c>
      <c r="O15" s="19">
        <f t="shared" si="1"/>
        <v>20021197.043498669</v>
      </c>
      <c r="P15" s="19">
        <f t="shared" si="1"/>
        <v>19921091.058281176</v>
      </c>
      <c r="Q15" s="19">
        <f t="shared" si="1"/>
        <v>19821485.60298977</v>
      </c>
      <c r="R15" s="19">
        <f t="shared" si="1"/>
        <v>19559963.022474777</v>
      </c>
      <c r="S15" s="19">
        <f t="shared" si="1"/>
        <v>18973164.131800532</v>
      </c>
      <c r="T15" s="19">
        <f t="shared" si="1"/>
        <v>18403969.207846515</v>
      </c>
      <c r="U15" s="19">
        <f t="shared" si="1"/>
        <v>17851850.13161112</v>
      </c>
      <c r="V15" s="19">
        <f t="shared" si="1"/>
        <v>17316294.627662782</v>
      </c>
      <c r="W15" s="19">
        <f t="shared" si="1"/>
        <v>16796805.788832899</v>
      </c>
      <c r="X15" s="19">
        <f t="shared" si="1"/>
        <v>16292901.615167914</v>
      </c>
      <c r="Y15" s="19">
        <f t="shared" si="1"/>
        <v>15804114.566712875</v>
      </c>
      <c r="Z15" s="19">
        <f t="shared" si="1"/>
        <v>17382597.445500962</v>
      </c>
      <c r="AA15" s="19">
        <f t="shared" si="1"/>
        <v>0</v>
      </c>
      <c r="AB15" s="19">
        <f t="shared" si="1"/>
        <v>0</v>
      </c>
      <c r="AC15" s="19">
        <f t="shared" si="1"/>
        <v>0</v>
      </c>
      <c r="AD15" s="19">
        <f t="shared" si="1"/>
        <v>0</v>
      </c>
      <c r="AE15" s="19">
        <f t="shared" si="1"/>
        <v>0</v>
      </c>
      <c r="AF15" s="19">
        <f t="shared" si="1"/>
        <v>0</v>
      </c>
      <c r="AG15" s="19">
        <f t="shared" si="1"/>
        <v>0</v>
      </c>
      <c r="AH15" s="19">
        <f t="shared" si="1"/>
        <v>0</v>
      </c>
      <c r="AI15" s="19">
        <f t="shared" si="1"/>
        <v>0</v>
      </c>
      <c r="AJ15" s="19">
        <f t="shared" si="1"/>
        <v>0</v>
      </c>
    </row>
    <row r="16" spans="2:36" s="11" customFormat="1" ht="16">
      <c r="B16" s="18" t="s">
        <v>192</v>
      </c>
      <c r="C16" s="18"/>
      <c r="D16" s="18"/>
      <c r="E16" s="61" t="s">
        <v>48</v>
      </c>
      <c r="F16" s="18"/>
      <c r="G16" s="72">
        <f>IF(Inputs!$Q$6=Inputs!$G$17,0,IF(Inputs!$Q$11="Year One",Inputs!$Q$12,'Complex Inputs'!$D129))</f>
        <v>4</v>
      </c>
      <c r="H16" s="72">
        <f>IF(H$2&gt;Inputs!$G$17,0,IF(Inputs!$Q$11="Year One",G$16*(1+Inputs!$Q$13),'Complex Inputs'!$D130))</f>
        <v>4.08</v>
      </c>
      <c r="I16" s="72">
        <f>IF(I$2&gt;Inputs!$G$17,0,IF(Inputs!$Q$11="Year One",H$16*(1+Inputs!$Q$13),'Complex Inputs'!$D131))</f>
        <v>4.1616</v>
      </c>
      <c r="J16" s="72">
        <f>IF(J$2&gt;Inputs!$G$17,0,IF(Inputs!$Q$11="Year One",I$16*(1+Inputs!$Q$13),'Complex Inputs'!$D132))</f>
        <v>4.2448319999999997</v>
      </c>
      <c r="K16" s="72">
        <f>IF(K$2&gt;Inputs!$G$17,0,IF(Inputs!$Q$11="Year One",J$16*(1+Inputs!$Q$13),'Complex Inputs'!$D133))</f>
        <v>4.3297286399999999</v>
      </c>
      <c r="L16" s="72">
        <f>IF(L$2&gt;Inputs!$G$17,0,IF(Inputs!$Q$11="Year One",K$16*(1+Inputs!$Q$13),'Complex Inputs'!$D134))</f>
        <v>4.4163232128000001</v>
      </c>
      <c r="M16" s="72">
        <f>IF(M$2&gt;Inputs!$G$17,0,IF(Inputs!$Q$11="Year One",L$16*(1+Inputs!$Q$13),'Complex Inputs'!$D135))</f>
        <v>4.5046496770560003</v>
      </c>
      <c r="N16" s="72">
        <f>IF(N$2&gt;Inputs!$G$17,0,IF(Inputs!$Q$11="Year One",M$16*(1+Inputs!$Q$13),'Complex Inputs'!$D136))</f>
        <v>4.5947426705971202</v>
      </c>
      <c r="O16" s="72">
        <f>IF(O$2&gt;Inputs!$G$17,0,IF(Inputs!$Q$11="Year One",N$16*(1+Inputs!$Q$13),'Complex Inputs'!$D137))</f>
        <v>4.686637524009063</v>
      </c>
      <c r="P16" s="72">
        <f>IF(P$2&gt;Inputs!$G$17,0,IF(Inputs!$Q$11="Year One",O$16*(1+Inputs!$Q$13),'Complex Inputs'!$D138))</f>
        <v>4.7803702744892442</v>
      </c>
      <c r="Q16" s="72">
        <f>IF(Q$2&gt;Inputs!$G$17,0,IF(Inputs!$Q$11="Year One",P$16*(1+Inputs!$Q$13),'Complex Inputs'!$D139))</f>
        <v>4.8759776799790293</v>
      </c>
      <c r="R16" s="72">
        <f>IF(R$2&gt;Inputs!$G$17,0,IF(Inputs!$Q$11="Year One",Q$16*(1+Inputs!$Q$13),'Complex Inputs'!$D140))</f>
        <v>4.9734972335786098</v>
      </c>
      <c r="S16" s="72">
        <f>IF(S$2&gt;Inputs!$G$17,0,IF(Inputs!$Q$11="Year One",R$16*(1+Inputs!$Q$13),'Complex Inputs'!$D141))</f>
        <v>5.072967178250182</v>
      </c>
      <c r="T16" s="72">
        <f>IF(T$2&gt;Inputs!$G$17,0,IF(Inputs!$Q$11="Year One",S$16*(1+Inputs!$Q$13),'Complex Inputs'!$D142))</f>
        <v>5.1744265218151853</v>
      </c>
      <c r="U16" s="72">
        <f>IF(U$2&gt;Inputs!$G$17,0,IF(Inputs!$Q$11="Year One",T$16*(1+Inputs!$Q$13),'Complex Inputs'!$D143))</f>
        <v>5.2779150522514895</v>
      </c>
      <c r="V16" s="72">
        <f>IF(V$2&gt;Inputs!$G$17,0,IF(Inputs!$Q$11="Year One",U$16*(1+Inputs!$Q$13),'Complex Inputs'!$D144))</f>
        <v>5.3834733532965195</v>
      </c>
      <c r="W16" s="72">
        <f>IF(W$2&gt;Inputs!$G$17,0,IF(Inputs!$Q$11="Year One",V$16*(1+Inputs!$Q$13),'Complex Inputs'!$D145))</f>
        <v>5.4911428203624499</v>
      </c>
      <c r="X16" s="72">
        <f>IF(X$2&gt;Inputs!$G$17,0,IF(Inputs!$Q$11="Year One",W$16*(1+Inputs!$Q$13),'Complex Inputs'!$D146))</f>
        <v>5.6009656767696994</v>
      </c>
      <c r="Y16" s="72">
        <f>IF(Y$2&gt;Inputs!$G$17,0,IF(Inputs!$Q$11="Year One",X$16*(1+Inputs!$Q$13),'Complex Inputs'!$D147))</f>
        <v>5.7129849903050935</v>
      </c>
      <c r="Z16" s="72">
        <f>IF(Z$2&gt;Inputs!$G$17,0,IF(Inputs!$Q$11="Year One",Y$16*(1+Inputs!$Q$13),'Complex Inputs'!$D148))</f>
        <v>5.8272446901111952</v>
      </c>
      <c r="AA16" s="72">
        <f>IF(AA$2&gt;Inputs!$G$17,0,IF(Inputs!$Q$11="Year One",Z$16*(1+Inputs!$Q$13),'Complex Inputs'!$D149))</f>
        <v>5.9437895839134196</v>
      </c>
      <c r="AB16" s="72">
        <f>IF(AB$2&gt;Inputs!$G$17,0,IF(Inputs!$Q$11="Year One",AA$16*(1+Inputs!$Q$13),'Complex Inputs'!$D150))</f>
        <v>6.0626653755916884</v>
      </c>
      <c r="AC16" s="72">
        <f>IF(AC$2&gt;Inputs!$G$17,0,IF(Inputs!$Q$11="Year One",AB$16*(1+Inputs!$Q$13),'Complex Inputs'!$D151))</f>
        <v>6.1839186831035224</v>
      </c>
      <c r="AD16" s="72">
        <f>IF(AD$2&gt;Inputs!$G$17,0,IF(Inputs!$Q$11="Year One",AC$16*(1+Inputs!$Q$13),'Complex Inputs'!$D152))</f>
        <v>6.3075970567655926</v>
      </c>
      <c r="AE16" s="72">
        <f>IF(AE$2&gt;Inputs!$G$17,0,IF(Inputs!$Q$11="Year One",AD$16*(1+Inputs!$Q$13),'Complex Inputs'!$D153))</f>
        <v>6.4337489979009046</v>
      </c>
      <c r="AF16" s="72">
        <f>IF(AF$2&gt;Inputs!$G$17,0,IF(Inputs!$Q$11="Year One",AE$16*(1+Inputs!$Q$13),'Complex Inputs'!$D154))</f>
        <v>0</v>
      </c>
      <c r="AG16" s="72">
        <f>IF(AG$2&gt;Inputs!$G$17,0,IF(Inputs!$Q$11="Year One",AF$16*(1+Inputs!$Q$13),'Complex Inputs'!$D155))</f>
        <v>0</v>
      </c>
      <c r="AH16" s="72">
        <f>IF(AH$2&gt;Inputs!$G$17,0,IF(Inputs!$Q$11="Year One",AG$16*(1+Inputs!$Q$13),'Complex Inputs'!$D156))</f>
        <v>0</v>
      </c>
      <c r="AI16" s="72">
        <f>IF(AI$2&gt;Inputs!$G$17,0,IF(Inputs!$Q$11="Year One",AH$16*(1+Inputs!$Q$13),'Complex Inputs'!$D157))</f>
        <v>0</v>
      </c>
      <c r="AJ16" s="72">
        <f>IF(AJ$2&gt;Inputs!$G$17,0,IF(Inputs!$Q$11="Year One",AI$16*(1+Inputs!$Q$13),'Complex Inputs'!$D158))</f>
        <v>0</v>
      </c>
    </row>
    <row r="17" spans="2:36" s="11" customFormat="1" ht="16">
      <c r="B17" s="18" t="s">
        <v>191</v>
      </c>
      <c r="C17" s="18"/>
      <c r="D17" s="18"/>
      <c r="E17" s="59" t="s">
        <v>0</v>
      </c>
      <c r="F17" s="18"/>
      <c r="G17" s="19">
        <f>IF(G$2&lt;=Inputs!$Q$6,0,IF(G$2&gt;Inputs!$G$17,0,(G$16*G$5)/100))</f>
        <v>0</v>
      </c>
      <c r="H17" s="19">
        <f>IF(H$2&lt;=Inputs!$Q$6,0,IF(H$2&gt;Inputs!$G$17,0,(H$16*H$5)/100))</f>
        <v>0</v>
      </c>
      <c r="I17" s="19">
        <f>IF(I$2&lt;=Inputs!$Q$6,0,IF(I$2&gt;Inputs!$G$17,0,(I$16*I$5)/100))</f>
        <v>0</v>
      </c>
      <c r="J17" s="19">
        <f>IF(J$2&lt;=Inputs!$Q$6,0,IF(J$2&gt;Inputs!$G$17,0,(J$16*J$5)/100))</f>
        <v>0</v>
      </c>
      <c r="K17" s="19">
        <f>IF(K$2&lt;=Inputs!$Q$6,0,IF(K$2&gt;Inputs!$G$17,0,(K$16*K$5)/100))</f>
        <v>0</v>
      </c>
      <c r="L17" s="19">
        <f>IF(L$2&lt;=Inputs!$Q$6,0,IF(L$2&gt;Inputs!$G$17,0,(L$16*L$5)/100))</f>
        <v>0</v>
      </c>
      <c r="M17" s="19">
        <f>IF(M$2&lt;=Inputs!$Q$6,0,IF(M$2&gt;Inputs!$G$17,0,(M$16*M$5)/100))</f>
        <v>0</v>
      </c>
      <c r="N17" s="19">
        <f>IF(N$2&lt;=Inputs!$Q$6,0,IF(N$2&gt;Inputs!$G$17,0,(N$16*N$5)/100))</f>
        <v>0</v>
      </c>
      <c r="O17" s="19">
        <f>IF(O$2&lt;=Inputs!$Q$6,0,IF(O$2&gt;Inputs!$G$17,0,(O$16*O$5)/100))</f>
        <v>0</v>
      </c>
      <c r="P17" s="19">
        <f>IF(P$2&lt;=Inputs!$Q$6,0,IF(P$2&gt;Inputs!$G$17,0,(P$16*P$5)/100))</f>
        <v>0</v>
      </c>
      <c r="Q17" s="19">
        <f>IF(Q$2&lt;=Inputs!$Q$6,0,IF(Q$2&gt;Inputs!$G$17,0,(Q$16*Q$5)/100))</f>
        <v>0</v>
      </c>
      <c r="R17" s="19">
        <f>IF(R$2&lt;=Inputs!$Q$6,0,IF(R$2&gt;Inputs!$G$17,0,(R$16*R$5)/100))</f>
        <v>0</v>
      </c>
      <c r="S17" s="19">
        <f>IF(S$2&lt;=Inputs!$Q$6,0,IF(S$2&gt;Inputs!$G$17,0,(S$16*S$5)/100))</f>
        <v>0</v>
      </c>
      <c r="T17" s="19">
        <f>IF(T$2&lt;=Inputs!$Q$6,0,IF(T$2&gt;Inputs!$G$17,0,(T$16*T$5)/100))</f>
        <v>0</v>
      </c>
      <c r="U17" s="19">
        <f>IF(U$2&lt;=Inputs!$Q$6,0,IF(U$2&gt;Inputs!$G$17,0,(U$16*U$5)/100))</f>
        <v>0</v>
      </c>
      <c r="V17" s="19">
        <f>IF(V$2&lt;=Inputs!$Q$6,0,IF(V$2&gt;Inputs!$G$17,0,(V$16*V$5)/100))</f>
        <v>0</v>
      </c>
      <c r="W17" s="19">
        <f>IF(W$2&lt;=Inputs!$Q$6,0,IF(W$2&gt;Inputs!$G$17,0,(W$16*W$5)/100))</f>
        <v>0</v>
      </c>
      <c r="X17" s="19">
        <f>IF(X$2&lt;=Inputs!$Q$6,0,IF(X$2&gt;Inputs!$G$17,0,(X$16*X$5)/100))</f>
        <v>0</v>
      </c>
      <c r="Y17" s="19">
        <f>IF(Y$2&lt;=Inputs!$Q$6,0,IF(Y$2&gt;Inputs!$G$17,0,(Y$16*Y$5)/100))</f>
        <v>0</v>
      </c>
      <c r="Z17" s="19">
        <f>IF(Z$2&lt;=Inputs!$Q$6,0,IF(Z$2&gt;Inputs!$G$17,0,(Z$16*Z$5)/100))</f>
        <v>0</v>
      </c>
      <c r="AA17" s="19">
        <f>IF(AA$2&lt;=Inputs!$Q$6,0,IF(AA$2&gt;Inputs!$G$17,0,(AA$16*AA$5)/100))</f>
        <v>5402638.6301234905</v>
      </c>
      <c r="AB17" s="19">
        <f>IF(AB$2&lt;=Inputs!$Q$6,0,IF(AB$2&gt;Inputs!$G$17,0,(AB$16*AB$5)/100))</f>
        <v>5345370.6606441811</v>
      </c>
      <c r="AC17" s="19">
        <f>IF(AC$2&lt;=Inputs!$Q$6,0,IF(AC$2&gt;Inputs!$G$17,0,(AC$16*AC$5)/100))</f>
        <v>5288709.7316413522</v>
      </c>
      <c r="AD17" s="19">
        <f>IF(AD$2&lt;=Inputs!$Q$6,0,IF(AD$2&gt;Inputs!$G$17,0,(AD$16*AD$5)/100))</f>
        <v>5232649.4084859537</v>
      </c>
      <c r="AE17" s="19">
        <f>IF(AE$2&lt;=Inputs!$Q$6,0,IF(AE$2&gt;Inputs!$G$17,0,(AE$16*AE$5)/100))</f>
        <v>5177183.324756003</v>
      </c>
      <c r="AF17" s="19">
        <f>IF(AF$2&lt;=Inputs!$Q$6,0,IF(AF$2&gt;Inputs!$G$17,0,(AF$16*AF$5)/100))</f>
        <v>0</v>
      </c>
      <c r="AG17" s="19">
        <f>IF(AG$2&lt;=Inputs!$Q$6,0,IF(AG$2&gt;Inputs!$G$17,0,(AG$16*AG$5)/100))</f>
        <v>0</v>
      </c>
      <c r="AH17" s="19">
        <f>IF(AH$2&lt;=Inputs!$Q$6,0,IF(AH$2&gt;Inputs!$G$17,0,(AH$16*AH$5)/100))</f>
        <v>0</v>
      </c>
      <c r="AI17" s="19">
        <f>IF(AI$2&lt;=Inputs!$Q$6,0,IF(AI$2&gt;Inputs!$G$17,0,(AI$16*AI$5)/100))</f>
        <v>0</v>
      </c>
      <c r="AJ17" s="19">
        <f>IF(AJ$2&lt;=Inputs!$Q$6,0,IF(AJ$2&gt;Inputs!$G$17,0,(AJ$16*AJ$5)/100))</f>
        <v>0</v>
      </c>
    </row>
    <row r="18" spans="2:36" s="11" customFormat="1" ht="16">
      <c r="B18" s="18" t="s">
        <v>97</v>
      </c>
      <c r="C18" s="18"/>
      <c r="D18" s="18"/>
      <c r="E18" s="61" t="s">
        <v>48</v>
      </c>
      <c r="F18" s="18"/>
      <c r="G18" s="72">
        <f>IF(OR(Inputs!$Q$55="Cost-Based",Inputs!$Q$55="Neither"),0,IF(AND(Inputs!$Q$60="Cash",G$2&lt;=Inputs!$Q$63),Inputs!$Q$61*G$9,0))</f>
        <v>0</v>
      </c>
      <c r="H18" s="72">
        <f>IF(OR(Inputs!$Q$55="Cost-Based",Inputs!$Q$55="Neither"),0,IF(AND(Inputs!$Q$60="Cash",H$2&lt;=Inputs!$Q$63),Inputs!$Q$61*H$9,0))</f>
        <v>0</v>
      </c>
      <c r="I18" s="72">
        <f>IF(OR(Inputs!$Q$55="Cost-Based",Inputs!$Q$55="Neither"),0,IF(AND(Inputs!$Q$60="Cash",I$2&lt;=Inputs!$Q$63),Inputs!$Q$61*I$9,0))</f>
        <v>0</v>
      </c>
      <c r="J18" s="72">
        <f>IF(OR(Inputs!$Q$55="Cost-Based",Inputs!$Q$55="Neither"),0,IF(AND(Inputs!$Q$60="Cash",J$2&lt;=Inputs!$Q$63),Inputs!$Q$61*J$9,0))</f>
        <v>0</v>
      </c>
      <c r="K18" s="72">
        <f>IF(OR(Inputs!$Q$55="Cost-Based",Inputs!$Q$55="Neither"),0,IF(AND(Inputs!$Q$60="Cash",K$2&lt;=Inputs!$Q$63),Inputs!$Q$61*K$9,0))</f>
        <v>0</v>
      </c>
      <c r="L18" s="72">
        <f>IF(OR(Inputs!$Q$55="Cost-Based",Inputs!$Q$55="Neither"),0,IF(AND(Inputs!$Q$60="Cash",L$2&lt;=Inputs!$Q$63),Inputs!$Q$61*L$9,0))</f>
        <v>0</v>
      </c>
      <c r="M18" s="72">
        <f>IF(OR(Inputs!$Q$55="Cost-Based",Inputs!$Q$55="Neither"),0,IF(AND(Inputs!$Q$60="Cash",M$2&lt;=Inputs!$Q$63),Inputs!$Q$61*M$9,0))</f>
        <v>0</v>
      </c>
      <c r="N18" s="72">
        <f>IF(OR(Inputs!$Q$55="Cost-Based",Inputs!$Q$55="Neither"),0,IF(AND(Inputs!$Q$60="Cash",N$2&lt;=Inputs!$Q$63),Inputs!$Q$61*N$9,0))</f>
        <v>0</v>
      </c>
      <c r="O18" s="72">
        <f>IF(OR(Inputs!$Q$55="Cost-Based",Inputs!$Q$55="Neither"),0,IF(AND(Inputs!$Q$60="Cash",O$2&lt;=Inputs!$Q$63),Inputs!$Q$61*O$9,0))</f>
        <v>0</v>
      </c>
      <c r="P18" s="72">
        <f>IF(OR(Inputs!$Q$55="Cost-Based",Inputs!$Q$55="Neither"),0,IF(AND(Inputs!$Q$60="Cash",P$2&lt;=Inputs!$Q$63),Inputs!$Q$61*P$9,0))</f>
        <v>0</v>
      </c>
      <c r="Q18" s="72">
        <f>IF(OR(Inputs!$Q$55="Cost-Based",Inputs!$Q$55="Neither"),0,IF(AND(Inputs!$Q$60="Cash",Q$2&lt;=Inputs!$Q$63),Inputs!$Q$61*Q$9,0))</f>
        <v>0</v>
      </c>
      <c r="R18" s="72">
        <f>IF(OR(Inputs!$Q$55="Cost-Based",Inputs!$Q$55="Neither"),0,IF(AND(Inputs!$Q$60="Cash",R$2&lt;=Inputs!$Q$63),Inputs!$Q$61*R$9,0))</f>
        <v>0</v>
      </c>
      <c r="S18" s="72">
        <f>IF(OR(Inputs!$Q$55="Cost-Based",Inputs!$Q$55="Neither"),0,IF(AND(Inputs!$Q$60="Cash",S$2&lt;=Inputs!$Q$63),Inputs!$Q$61*S$9,0))</f>
        <v>0</v>
      </c>
      <c r="T18" s="72">
        <f>IF(OR(Inputs!$Q$55="Cost-Based",Inputs!$Q$55="Neither"),0,IF(AND(Inputs!$Q$60="Cash",T$2&lt;=Inputs!$Q$63),Inputs!$Q$61*T$9,0))</f>
        <v>0</v>
      </c>
      <c r="U18" s="72">
        <f>IF(OR(Inputs!$Q$55="Cost-Based",Inputs!$Q$55="Neither"),0,IF(AND(Inputs!$Q$60="Cash",U$2&lt;=Inputs!$Q$63),Inputs!$Q$61*U$9,0))</f>
        <v>0</v>
      </c>
      <c r="V18" s="72">
        <f>IF(OR(Inputs!$Q$55="Cost-Based",Inputs!$Q$55="Neither"),0,IF(AND(Inputs!$Q$60="Cash",V$2&lt;=Inputs!$Q$63),Inputs!$Q$61*V$9,0))</f>
        <v>0</v>
      </c>
      <c r="W18" s="72">
        <f>IF(OR(Inputs!$Q$55="Cost-Based",Inputs!$Q$55="Neither"),0,IF(AND(Inputs!$Q$60="Cash",W$2&lt;=Inputs!$Q$63),Inputs!$Q$61*W$9,0))</f>
        <v>0</v>
      </c>
      <c r="X18" s="72">
        <f>IF(OR(Inputs!$Q$55="Cost-Based",Inputs!$Q$55="Neither"),0,IF(AND(Inputs!$Q$60="Cash",X$2&lt;=Inputs!$Q$63),Inputs!$Q$61*X$9,0))</f>
        <v>0</v>
      </c>
      <c r="Y18" s="72">
        <f>IF(OR(Inputs!$Q$55="Cost-Based",Inputs!$Q$55="Neither"),0,IF(AND(Inputs!$Q$60="Cash",Y$2&lt;=Inputs!$Q$63),Inputs!$Q$61*Y$9,0))</f>
        <v>0</v>
      </c>
      <c r="Z18" s="72">
        <f>IF(OR(Inputs!$Q$55="Cost-Based",Inputs!$Q$55="Neither"),0,IF(AND(Inputs!$Q$60="Cash",Z$2&lt;=Inputs!$Q$63),Inputs!$Q$61*Z$9,0))</f>
        <v>0</v>
      </c>
      <c r="AA18" s="72">
        <f>IF(OR(Inputs!$Q$55="Cost-Based",Inputs!$Q$55="Neither"),0,IF(AND(Inputs!$Q$60="Cash",AA$2&lt;=Inputs!$Q$63),Inputs!$Q$61*AA$9,0))</f>
        <v>0</v>
      </c>
      <c r="AB18" s="72">
        <f>IF(OR(Inputs!$Q$55="Cost-Based",Inputs!$Q$55="Neither"),0,IF(AND(Inputs!$Q$60="Cash",AB$2&lt;=Inputs!$Q$63),Inputs!$Q$61*AB$9,0))</f>
        <v>0</v>
      </c>
      <c r="AC18" s="72">
        <f>IF(OR(Inputs!$Q$55="Cost-Based",Inputs!$Q$55="Neither"),0,IF(AND(Inputs!$Q$60="Cash",AC$2&lt;=Inputs!$Q$63),Inputs!$Q$61*AC$9,0))</f>
        <v>0</v>
      </c>
      <c r="AD18" s="72">
        <f>IF(OR(Inputs!$Q$55="Cost-Based",Inputs!$Q$55="Neither"),0,IF(AND(Inputs!$Q$60="Cash",AD$2&lt;=Inputs!$Q$63),Inputs!$Q$61*AD$9,0))</f>
        <v>0</v>
      </c>
      <c r="AE18" s="72">
        <f>IF(OR(Inputs!$Q$55="Cost-Based",Inputs!$Q$55="Neither"),0,IF(AND(Inputs!$Q$60="Cash",AE$2&lt;=Inputs!$Q$63),Inputs!$Q$61*AE$9,0))</f>
        <v>0</v>
      </c>
      <c r="AF18" s="72">
        <f>IF(OR(Inputs!$Q$55="Cost-Based",Inputs!$Q$55="Neither"),0,IF(AND(Inputs!$Q$60="Cash",AF$2&lt;=Inputs!$Q$63),Inputs!$Q$61*AF$9,0))</f>
        <v>0</v>
      </c>
      <c r="AG18" s="72">
        <f>IF(OR(Inputs!$Q$55="Cost-Based",Inputs!$Q$55="Neither"),0,IF(AND(Inputs!$Q$60="Cash",AG$2&lt;=Inputs!$Q$63),Inputs!$Q$61*AG$9,0))</f>
        <v>0</v>
      </c>
      <c r="AH18" s="72">
        <f>IF(OR(Inputs!$Q$55="Cost-Based",Inputs!$Q$55="Neither"),0,IF(AND(Inputs!$Q$60="Cash",AH$2&lt;=Inputs!$Q$63),Inputs!$Q$61*AH$9,0))</f>
        <v>0</v>
      </c>
      <c r="AI18" s="72">
        <f>IF(OR(Inputs!$Q$55="Cost-Based",Inputs!$Q$55="Neither"),0,IF(AND(Inputs!$Q$60="Cash",AI$2&lt;=Inputs!$Q$63),Inputs!$Q$61*AI$9,0))</f>
        <v>0</v>
      </c>
      <c r="AJ18" s="72">
        <f>IF(OR(Inputs!$Q$55="Cost-Based",Inputs!$Q$55="Neither"),0,IF(AND(Inputs!$Q$60="Cash",AJ$2&lt;=Inputs!$Q$63),Inputs!$Q$61*AJ$9,0))</f>
        <v>0</v>
      </c>
    </row>
    <row r="19" spans="2:36" s="11" customFormat="1" ht="16">
      <c r="B19" s="18" t="s">
        <v>98</v>
      </c>
      <c r="C19" s="18"/>
      <c r="D19" s="18"/>
      <c r="E19" s="59" t="s">
        <v>0</v>
      </c>
      <c r="F19" s="18"/>
      <c r="G19" s="19">
        <f>(G$18*G$5)/100</f>
        <v>0</v>
      </c>
      <c r="H19" s="19">
        <f t="shared" ref="H19:AJ19" si="2">(H$18*H$5)/100</f>
        <v>0</v>
      </c>
      <c r="I19" s="19">
        <f t="shared" si="2"/>
        <v>0</v>
      </c>
      <c r="J19" s="19">
        <f t="shared" si="2"/>
        <v>0</v>
      </c>
      <c r="K19" s="19">
        <f t="shared" si="2"/>
        <v>0</v>
      </c>
      <c r="L19" s="19">
        <f t="shared" si="2"/>
        <v>0</v>
      </c>
      <c r="M19" s="19">
        <f t="shared" si="2"/>
        <v>0</v>
      </c>
      <c r="N19" s="19">
        <f t="shared" si="2"/>
        <v>0</v>
      </c>
      <c r="O19" s="19">
        <f t="shared" si="2"/>
        <v>0</v>
      </c>
      <c r="P19" s="19">
        <f t="shared" si="2"/>
        <v>0</v>
      </c>
      <c r="Q19" s="19">
        <f t="shared" si="2"/>
        <v>0</v>
      </c>
      <c r="R19" s="19">
        <f t="shared" si="2"/>
        <v>0</v>
      </c>
      <c r="S19" s="19">
        <f t="shared" si="2"/>
        <v>0</v>
      </c>
      <c r="T19" s="19">
        <f t="shared" si="2"/>
        <v>0</v>
      </c>
      <c r="U19" s="19">
        <f t="shared" si="2"/>
        <v>0</v>
      </c>
      <c r="V19" s="19">
        <f t="shared" si="2"/>
        <v>0</v>
      </c>
      <c r="W19" s="19">
        <f t="shared" si="2"/>
        <v>0</v>
      </c>
      <c r="X19" s="19">
        <f t="shared" si="2"/>
        <v>0</v>
      </c>
      <c r="Y19" s="19">
        <f t="shared" si="2"/>
        <v>0</v>
      </c>
      <c r="Z19" s="19">
        <f t="shared" si="2"/>
        <v>0</v>
      </c>
      <c r="AA19" s="19">
        <f t="shared" si="2"/>
        <v>0</v>
      </c>
      <c r="AB19" s="19">
        <f t="shared" si="2"/>
        <v>0</v>
      </c>
      <c r="AC19" s="19">
        <f t="shared" si="2"/>
        <v>0</v>
      </c>
      <c r="AD19" s="19">
        <f t="shared" si="2"/>
        <v>0</v>
      </c>
      <c r="AE19" s="19">
        <f t="shared" si="2"/>
        <v>0</v>
      </c>
      <c r="AF19" s="19">
        <f t="shared" si="2"/>
        <v>0</v>
      </c>
      <c r="AG19" s="19">
        <f t="shared" si="2"/>
        <v>0</v>
      </c>
      <c r="AH19" s="19">
        <f t="shared" si="2"/>
        <v>0</v>
      </c>
      <c r="AI19" s="19">
        <f t="shared" si="2"/>
        <v>0</v>
      </c>
      <c r="AJ19" s="19">
        <f t="shared" si="2"/>
        <v>0</v>
      </c>
    </row>
    <row r="20" spans="2:36" s="20" customFormat="1" ht="16">
      <c r="B20" s="18" t="s">
        <v>99</v>
      </c>
      <c r="C20" s="18"/>
      <c r="D20" s="18"/>
      <c r="E20" s="61" t="s">
        <v>48</v>
      </c>
      <c r="F20" s="18"/>
      <c r="G20" s="72">
        <f>IF(OR(Inputs!$Q$69="Cost-Based",Inputs!$Q$69="Neither"),0,IF(AND(Inputs!$Q$74="Cash",G$2&lt;=Inputs!$Q$79),Inputs!$Q$77*G$10*Inputs!$Q$78,0))</f>
        <v>0</v>
      </c>
      <c r="H20" s="72">
        <f>IF(OR(Inputs!$Q$69="Cost-Based",Inputs!$Q$69="Neither"),0,IF(AND(Inputs!$Q$74="Cash",H$2&lt;=Inputs!$Q$79),Inputs!$Q$77*H$10*Inputs!$Q$78,0))</f>
        <v>0</v>
      </c>
      <c r="I20" s="72">
        <f>IF(OR(Inputs!$Q$69="Cost-Based",Inputs!$Q$69="Neither"),0,IF(AND(Inputs!$Q$74="Cash",I$2&lt;=Inputs!$Q$79),Inputs!$Q$77*I$10*Inputs!$Q$78,0))</f>
        <v>0</v>
      </c>
      <c r="J20" s="72">
        <f>IF(OR(Inputs!$Q$69="Cost-Based",Inputs!$Q$69="Neither"),0,IF(AND(Inputs!$Q$74="Cash",J$2&lt;=Inputs!$Q$79),Inputs!$Q$77*J$10*Inputs!$Q$78,0))</f>
        <v>0</v>
      </c>
      <c r="K20" s="72">
        <f>IF(OR(Inputs!$Q$69="Cost-Based",Inputs!$Q$69="Neither"),0,IF(AND(Inputs!$Q$74="Cash",K$2&lt;=Inputs!$Q$79),Inputs!$Q$77*K$10*Inputs!$Q$78,0))</f>
        <v>0</v>
      </c>
      <c r="L20" s="72">
        <f>IF(OR(Inputs!$Q$69="Cost-Based",Inputs!$Q$69="Neither"),0,IF(AND(Inputs!$Q$74="Cash",L$2&lt;=Inputs!$Q$79),Inputs!$Q$77*L$10*Inputs!$Q$78,0))</f>
        <v>0</v>
      </c>
      <c r="M20" s="72">
        <f>IF(OR(Inputs!$Q$69="Cost-Based",Inputs!$Q$69="Neither"),0,IF(AND(Inputs!$Q$74="Cash",M$2&lt;=Inputs!$Q$79),Inputs!$Q$77*M$10*Inputs!$Q$78,0))</f>
        <v>0</v>
      </c>
      <c r="N20" s="72">
        <f>IF(OR(Inputs!$Q$69="Cost-Based",Inputs!$Q$69="Neither"),0,IF(AND(Inputs!$Q$74="Cash",N$2&lt;=Inputs!$Q$79),Inputs!$Q$77*N$10*Inputs!$Q$78,0))</f>
        <v>0</v>
      </c>
      <c r="O20" s="72">
        <f>IF(OR(Inputs!$Q$69="Cost-Based",Inputs!$Q$69="Neither"),0,IF(AND(Inputs!$Q$74="Cash",O$2&lt;=Inputs!$Q$79),Inputs!$Q$77*O$10*Inputs!$Q$78,0))</f>
        <v>0</v>
      </c>
      <c r="P20" s="72">
        <f>IF(OR(Inputs!$Q$69="Cost-Based",Inputs!$Q$69="Neither"),0,IF(AND(Inputs!$Q$74="Cash",P$2&lt;=Inputs!$Q$79),Inputs!$Q$77*P$10*Inputs!$Q$78,0))</f>
        <v>0</v>
      </c>
      <c r="Q20" s="72">
        <f>IF(OR(Inputs!$Q$69="Cost-Based",Inputs!$Q$69="Neither"),0,IF(AND(Inputs!$Q$74="Cash",Q$2&lt;=Inputs!$Q$79),Inputs!$Q$77*Q$10*Inputs!$Q$78,0))</f>
        <v>0</v>
      </c>
      <c r="R20" s="72">
        <f>IF(OR(Inputs!$Q$69="Cost-Based",Inputs!$Q$69="Neither"),0,IF(AND(Inputs!$Q$74="Cash",R$2&lt;=Inputs!$Q$79),Inputs!$Q$77*R$10*Inputs!$Q$78,0))</f>
        <v>0</v>
      </c>
      <c r="S20" s="72">
        <f>IF(OR(Inputs!$Q$69="Cost-Based",Inputs!$Q$69="Neither"),0,IF(AND(Inputs!$Q$74="Cash",S$2&lt;=Inputs!$Q$79),Inputs!$Q$77*S$10*Inputs!$Q$78,0))</f>
        <v>0</v>
      </c>
      <c r="T20" s="72">
        <f>IF(OR(Inputs!$Q$69="Cost-Based",Inputs!$Q$69="Neither"),0,IF(AND(Inputs!$Q$74="Cash",T$2&lt;=Inputs!$Q$79),Inputs!$Q$77*T$10*Inputs!$Q$78,0))</f>
        <v>0</v>
      </c>
      <c r="U20" s="72">
        <f>IF(OR(Inputs!$Q$69="Cost-Based",Inputs!$Q$69="Neither"),0,IF(AND(Inputs!$Q$74="Cash",U$2&lt;=Inputs!$Q$79),Inputs!$Q$77*U$10*Inputs!$Q$78,0))</f>
        <v>0</v>
      </c>
      <c r="V20" s="72">
        <f>IF(OR(Inputs!$Q$69="Cost-Based",Inputs!$Q$69="Neither"),0,IF(AND(Inputs!$Q$74="Cash",V$2&lt;=Inputs!$Q$79),Inputs!$Q$77*V$10*Inputs!$Q$78,0))</f>
        <v>0</v>
      </c>
      <c r="W20" s="72">
        <f>IF(OR(Inputs!$Q$69="Cost-Based",Inputs!$Q$69="Neither"),0,IF(AND(Inputs!$Q$74="Cash",W$2&lt;=Inputs!$Q$79),Inputs!$Q$77*W$10*Inputs!$Q$78,0))</f>
        <v>0</v>
      </c>
      <c r="X20" s="72">
        <f>IF(OR(Inputs!$Q$69="Cost-Based",Inputs!$Q$69="Neither"),0,IF(AND(Inputs!$Q$74="Cash",X$2&lt;=Inputs!$Q$79),Inputs!$Q$77*X$10*Inputs!$Q$78,0))</f>
        <v>0</v>
      </c>
      <c r="Y20" s="72">
        <f>IF(OR(Inputs!$Q$69="Cost-Based",Inputs!$Q$69="Neither"),0,IF(AND(Inputs!$Q$74="Cash",Y$2&lt;=Inputs!$Q$79),Inputs!$Q$77*Y$10*Inputs!$Q$78,0))</f>
        <v>0</v>
      </c>
      <c r="Z20" s="72">
        <f>IF(OR(Inputs!$Q$69="Cost-Based",Inputs!$Q$69="Neither"),0,IF(AND(Inputs!$Q$74="Cash",Z$2&lt;=Inputs!$Q$79),Inputs!$Q$77*Z$10*Inputs!$Q$78,0))</f>
        <v>0</v>
      </c>
      <c r="AA20" s="72">
        <f>IF(OR(Inputs!$Q$69="Cost-Based",Inputs!$Q$69="Neither"),0,IF(AND(Inputs!$Q$74="Cash",AA$2&lt;=Inputs!$Q$79),Inputs!$Q$77*AA$10*Inputs!$Q$78,0))</f>
        <v>0</v>
      </c>
      <c r="AB20" s="72">
        <f>IF(OR(Inputs!$Q$69="Cost-Based",Inputs!$Q$69="Neither"),0,IF(AND(Inputs!$Q$74="Cash",AB$2&lt;=Inputs!$Q$79),Inputs!$Q$77*AB$10*Inputs!$Q$78,0))</f>
        <v>0</v>
      </c>
      <c r="AC20" s="72">
        <f>IF(OR(Inputs!$Q$69="Cost-Based",Inputs!$Q$69="Neither"),0,IF(AND(Inputs!$Q$74="Cash",AC$2&lt;=Inputs!$Q$79),Inputs!$Q$77*AC$10*Inputs!$Q$78,0))</f>
        <v>0</v>
      </c>
      <c r="AD20" s="72">
        <f>IF(OR(Inputs!$Q$69="Cost-Based",Inputs!$Q$69="Neither"),0,IF(AND(Inputs!$Q$74="Cash",AD$2&lt;=Inputs!$Q$79),Inputs!$Q$77*AD$10*Inputs!$Q$78,0))</f>
        <v>0</v>
      </c>
      <c r="AE20" s="72">
        <f>IF(OR(Inputs!$Q$69="Cost-Based",Inputs!$Q$69="Neither"),0,IF(AND(Inputs!$Q$74="Cash",AE$2&lt;=Inputs!$Q$79),Inputs!$Q$77*AE$10*Inputs!$Q$78,0))</f>
        <v>0</v>
      </c>
      <c r="AF20" s="72">
        <f>IF(OR(Inputs!$Q$69="Cost-Based",Inputs!$Q$69="Neither"),0,IF(AND(Inputs!$Q$74="Cash",AF$2&lt;=Inputs!$Q$79),Inputs!$Q$77*AF$10*Inputs!$Q$78,0))</f>
        <v>0</v>
      </c>
      <c r="AG20" s="72">
        <f>IF(OR(Inputs!$Q$69="Cost-Based",Inputs!$Q$69="Neither"),0,IF(AND(Inputs!$Q$74="Cash",AG$2&lt;=Inputs!$Q$79),Inputs!$Q$77*AG$10*Inputs!$Q$78,0))</f>
        <v>0</v>
      </c>
      <c r="AH20" s="72">
        <f>IF(OR(Inputs!$Q$69="Cost-Based",Inputs!$Q$69="Neither"),0,IF(AND(Inputs!$Q$74="Cash",AH$2&lt;=Inputs!$Q$79),Inputs!$Q$77*AH$10*Inputs!$Q$78,0))</f>
        <v>0</v>
      </c>
      <c r="AI20" s="72">
        <f>IF(OR(Inputs!$Q$69="Cost-Based",Inputs!$Q$69="Neither"),0,IF(AND(Inputs!$Q$74="Cash",AI$2&lt;=Inputs!$Q$79),Inputs!$Q$77*AI$10*Inputs!$Q$78,0))</f>
        <v>0</v>
      </c>
      <c r="AJ20" s="72">
        <f>IF(OR(Inputs!$Q$69="Cost-Based",Inputs!$Q$69="Neither"),0,IF(AND(Inputs!$Q$74="Cash",AJ$2&lt;=Inputs!$Q$79),Inputs!$Q$77*AJ$10*Inputs!$Q$78,0))</f>
        <v>0</v>
      </c>
    </row>
    <row r="21" spans="2:36" s="20" customFormat="1" ht="16">
      <c r="B21" s="18" t="s">
        <v>100</v>
      </c>
      <c r="C21" s="18"/>
      <c r="D21" s="18"/>
      <c r="E21" s="59" t="s">
        <v>0</v>
      </c>
      <c r="F21" s="18"/>
      <c r="G21" s="19">
        <f>IF(Inputs!$Q$75=0,(G$20*G$5)/100,MIN((G$20*G$5)/100,Inputs!$Q$75))</f>
        <v>0</v>
      </c>
      <c r="H21" s="19">
        <f>IF(Inputs!$Q$75=0,(H$20*H$5)/100,MIN((H$20*H$5)/100,Inputs!$Q$75))</f>
        <v>0</v>
      </c>
      <c r="I21" s="19">
        <f>IF(Inputs!$Q$75=0,(I$20*I$5)/100,MIN((I$20*I$5)/100,Inputs!$Q$75))</f>
        <v>0</v>
      </c>
      <c r="J21" s="19">
        <f>IF(Inputs!$Q$75=0,(J$20*J$5)/100,MIN((J$20*J$5)/100,Inputs!$Q$75))</f>
        <v>0</v>
      </c>
      <c r="K21" s="19">
        <f>IF(Inputs!$Q$75=0,(K$20*K$5)/100,MIN((K$20*K$5)/100,Inputs!$Q$75))</f>
        <v>0</v>
      </c>
      <c r="L21" s="19">
        <f>IF(Inputs!$Q$75=0,(L$20*L$5)/100,MIN((L$20*L$5)/100,Inputs!$Q$75))</f>
        <v>0</v>
      </c>
      <c r="M21" s="19">
        <f>IF(Inputs!$Q$75=0,(M$20*M$5)/100,MIN((M$20*M$5)/100,Inputs!$Q$75))</f>
        <v>0</v>
      </c>
      <c r="N21" s="19">
        <f>IF(Inputs!$Q$75=0,(N$20*N$5)/100,MIN((N$20*N$5)/100,Inputs!$Q$75))</f>
        <v>0</v>
      </c>
      <c r="O21" s="19">
        <f>IF(Inputs!$Q$75=0,(O$20*O$5)/100,MIN((O$20*O$5)/100,Inputs!$Q$75))</f>
        <v>0</v>
      </c>
      <c r="P21" s="19">
        <f>IF(Inputs!$Q$75=0,(P$20*P$5)/100,MIN((P$20*P$5)/100,Inputs!$Q$75))</f>
        <v>0</v>
      </c>
      <c r="Q21" s="19">
        <f>IF(Inputs!$Q$75=0,(Q$20*Q$5)/100,MIN((Q$20*Q$5)/100,Inputs!$Q$75))</f>
        <v>0</v>
      </c>
      <c r="R21" s="19">
        <f>IF(Inputs!$Q$75=0,(R$20*R$5)/100,MIN((R$20*R$5)/100,Inputs!$Q$75))</f>
        <v>0</v>
      </c>
      <c r="S21" s="19">
        <f>IF(Inputs!$Q$75=0,(S$20*S$5)/100,MIN((S$20*S$5)/100,Inputs!$Q$75))</f>
        <v>0</v>
      </c>
      <c r="T21" s="19">
        <f>IF(Inputs!$Q$75=0,(T$20*T$5)/100,MIN((T$20*T$5)/100,Inputs!$Q$75))</f>
        <v>0</v>
      </c>
      <c r="U21" s="19">
        <f>IF(Inputs!$Q$75=0,(U$20*U$5)/100,MIN((U$20*U$5)/100,Inputs!$Q$75))</f>
        <v>0</v>
      </c>
      <c r="V21" s="19">
        <f>IF(Inputs!$Q$75=0,(V$20*V$5)/100,MIN((V$20*V$5)/100,Inputs!$Q$75))</f>
        <v>0</v>
      </c>
      <c r="W21" s="19">
        <f>IF(Inputs!$Q$75=0,(W$20*W$5)/100,MIN((W$20*W$5)/100,Inputs!$Q$75))</f>
        <v>0</v>
      </c>
      <c r="X21" s="19">
        <f>IF(Inputs!$Q$75=0,(X$20*X$5)/100,MIN((X$20*X$5)/100,Inputs!$Q$75))</f>
        <v>0</v>
      </c>
      <c r="Y21" s="19">
        <f>IF(Inputs!$Q$75=0,(Y$20*Y$5)/100,MIN((Y$20*Y$5)/100,Inputs!$Q$75))</f>
        <v>0</v>
      </c>
      <c r="Z21" s="19">
        <f>IF(Inputs!$Q$75=0,(Z$20*Z$5)/100,MIN((Z$20*Z$5)/100,Inputs!$Q$75))</f>
        <v>0</v>
      </c>
      <c r="AA21" s="19">
        <f>IF(Inputs!$Q$75=0,(AA$20*AA$5)/100,MIN((AA$20*AA$5)/100,Inputs!$Q$75))</f>
        <v>0</v>
      </c>
      <c r="AB21" s="19">
        <f>IF(Inputs!$Q$75=0,(AB$20*AB$5)/100,MIN((AB$20*AB$5)/100,Inputs!$Q$75))</f>
        <v>0</v>
      </c>
      <c r="AC21" s="19">
        <f>IF(Inputs!$Q$75=0,(AC$20*AC$5)/100,MIN((AC$20*AC$5)/100,Inputs!$Q$75))</f>
        <v>0</v>
      </c>
      <c r="AD21" s="19">
        <f>IF(Inputs!$Q$75=0,(AD$20*AD$5)/100,MIN((AD$20*AD$5)/100,Inputs!$Q$75))</f>
        <v>0</v>
      </c>
      <c r="AE21" s="19">
        <f>IF(Inputs!$Q$75=0,(AE$20*AE$5)/100,MIN((AE$20*AE$5)/100,Inputs!$Q$75))</f>
        <v>0</v>
      </c>
      <c r="AF21" s="19">
        <f>IF(Inputs!$Q$75=0,(AF$20*AF$5)/100,MIN((AF$20*AF$5)/100,Inputs!$Q$75))</f>
        <v>0</v>
      </c>
      <c r="AG21" s="19">
        <f>IF(Inputs!$Q$75=0,(AG$20*AG$5)/100,MIN((AG$20*AG$5)/100,Inputs!$Q$75))</f>
        <v>0</v>
      </c>
      <c r="AH21" s="19">
        <f>IF(Inputs!$Q$75=0,(AH$20*AH$5)/100,MIN((AH$20*AH$5)/100,Inputs!$Q$75))</f>
        <v>0</v>
      </c>
      <c r="AI21" s="19">
        <f>IF(Inputs!$Q$75=0,(AI$20*AI$5)/100,MIN((AI$20*AI$5)/100,Inputs!$Q$75))</f>
        <v>0</v>
      </c>
      <c r="AJ21" s="19">
        <f>IF(Inputs!$Q$75=0,(AJ$20*AJ$5)/100,MIN((AJ$20*AJ$5)/100,Inputs!$Q$75))</f>
        <v>0</v>
      </c>
    </row>
    <row r="22" spans="2:36" s="20" customFormat="1" ht="16">
      <c r="B22" s="21" t="s">
        <v>155</v>
      </c>
      <c r="C22" s="21"/>
      <c r="D22" s="21"/>
      <c r="E22" s="62" t="s">
        <v>0</v>
      </c>
      <c r="F22" s="21"/>
      <c r="G22" s="124">
        <f>G205</f>
        <v>97821.747324456315</v>
      </c>
      <c r="H22" s="124">
        <f t="shared" ref="H22:AJ22" si="3">H205</f>
        <v>97821.747324456315</v>
      </c>
      <c r="I22" s="124">
        <f t="shared" si="3"/>
        <v>97821.747324456315</v>
      </c>
      <c r="J22" s="124">
        <f t="shared" si="3"/>
        <v>97821.747324456315</v>
      </c>
      <c r="K22" s="124">
        <f t="shared" si="3"/>
        <v>97821.747324456315</v>
      </c>
      <c r="L22" s="124">
        <f t="shared" si="3"/>
        <v>97821.747324456315</v>
      </c>
      <c r="M22" s="124">
        <f t="shared" si="3"/>
        <v>97821.747324456315</v>
      </c>
      <c r="N22" s="124">
        <f t="shared" si="3"/>
        <v>97821.747324456315</v>
      </c>
      <c r="O22" s="124">
        <f t="shared" si="3"/>
        <v>97821.747324456315</v>
      </c>
      <c r="P22" s="124">
        <f t="shared" si="3"/>
        <v>97821.747324456315</v>
      </c>
      <c r="Q22" s="124">
        <f t="shared" si="3"/>
        <v>97821.747324456315</v>
      </c>
      <c r="R22" s="124">
        <f t="shared" si="3"/>
        <v>97821.747324456315</v>
      </c>
      <c r="S22" s="124">
        <f t="shared" si="3"/>
        <v>97821.747324456315</v>
      </c>
      <c r="T22" s="124">
        <f t="shared" si="3"/>
        <v>97821.747324456315</v>
      </c>
      <c r="U22" s="124">
        <f t="shared" si="3"/>
        <v>97821.747324456315</v>
      </c>
      <c r="V22" s="124">
        <f t="shared" si="3"/>
        <v>69481.066158444737</v>
      </c>
      <c r="W22" s="124">
        <f t="shared" si="3"/>
        <v>41140.38499243313</v>
      </c>
      <c r="X22" s="124">
        <f t="shared" si="3"/>
        <v>41140.38499243313</v>
      </c>
      <c r="Y22" s="124">
        <f t="shared" si="3"/>
        <v>41140.38499243313</v>
      </c>
      <c r="Z22" s="124">
        <f t="shared" si="3"/>
        <v>41140.38499243313</v>
      </c>
      <c r="AA22" s="124">
        <f t="shared" si="3"/>
        <v>41140.38499243313</v>
      </c>
      <c r="AB22" s="124">
        <f t="shared" si="3"/>
        <v>41140.38499243313</v>
      </c>
      <c r="AC22" s="124">
        <f t="shared" si="3"/>
        <v>41140.38499243313</v>
      </c>
      <c r="AD22" s="124">
        <f t="shared" si="3"/>
        <v>41140.38499243313</v>
      </c>
      <c r="AE22" s="124">
        <f t="shared" si="3"/>
        <v>20570.192496216565</v>
      </c>
      <c r="AF22" s="124">
        <f t="shared" si="3"/>
        <v>0</v>
      </c>
      <c r="AG22" s="124">
        <f t="shared" si="3"/>
        <v>0</v>
      </c>
      <c r="AH22" s="124">
        <f t="shared" si="3"/>
        <v>0</v>
      </c>
      <c r="AI22" s="124">
        <f t="shared" si="3"/>
        <v>0</v>
      </c>
      <c r="AJ22" s="124">
        <f t="shared" si="3"/>
        <v>0</v>
      </c>
    </row>
    <row r="23" spans="2:36" s="11" customFormat="1" ht="16">
      <c r="B23" s="16" t="s">
        <v>105</v>
      </c>
      <c r="C23" s="16"/>
      <c r="D23" s="16"/>
      <c r="E23" s="63" t="s">
        <v>0</v>
      </c>
      <c r="F23" s="16"/>
      <c r="G23" s="23">
        <f>G15+G17+G19+G21+G22</f>
        <v>20938190.247324467</v>
      </c>
      <c r="H23" s="23">
        <f t="shared" ref="H23:AJ23" si="4">H15+H17+H19+H21+H22</f>
        <v>20833988.404824466</v>
      </c>
      <c r="I23" s="23">
        <f t="shared" si="4"/>
        <v>20730307.571536962</v>
      </c>
      <c r="J23" s="23">
        <f t="shared" si="4"/>
        <v>20627145.1424159</v>
      </c>
      <c r="K23" s="23">
        <f t="shared" si="4"/>
        <v>20524498.525440443</v>
      </c>
      <c r="L23" s="23">
        <f t="shared" si="4"/>
        <v>20422365.141549863</v>
      </c>
      <c r="M23" s="23">
        <f t="shared" si="4"/>
        <v>20320742.424578737</v>
      </c>
      <c r="N23" s="23">
        <f t="shared" si="4"/>
        <v>20219627.821192462</v>
      </c>
      <c r="O23" s="23">
        <f t="shared" si="4"/>
        <v>20119018.790823124</v>
      </c>
      <c r="P23" s="23">
        <f t="shared" si="4"/>
        <v>20018912.805605631</v>
      </c>
      <c r="Q23" s="23">
        <f t="shared" si="4"/>
        <v>19919307.350314226</v>
      </c>
      <c r="R23" s="23">
        <f t="shared" si="4"/>
        <v>19657784.769799232</v>
      </c>
      <c r="S23" s="23">
        <f t="shared" si="4"/>
        <v>19070985.879124988</v>
      </c>
      <c r="T23" s="23">
        <f t="shared" si="4"/>
        <v>18501790.95517097</v>
      </c>
      <c r="U23" s="23">
        <f t="shared" si="4"/>
        <v>17949671.878935575</v>
      </c>
      <c r="V23" s="23">
        <f t="shared" si="4"/>
        <v>17385775.693821225</v>
      </c>
      <c r="W23" s="23">
        <f t="shared" si="4"/>
        <v>16837946.173825331</v>
      </c>
      <c r="X23" s="23">
        <f t="shared" si="4"/>
        <v>16334042.000160348</v>
      </c>
      <c r="Y23" s="23">
        <f t="shared" si="4"/>
        <v>15845254.951705309</v>
      </c>
      <c r="Z23" s="23">
        <f t="shared" si="4"/>
        <v>17423737.830493394</v>
      </c>
      <c r="AA23" s="23">
        <f t="shared" si="4"/>
        <v>5443779.0151159232</v>
      </c>
      <c r="AB23" s="23">
        <f t="shared" si="4"/>
        <v>5386511.0456366139</v>
      </c>
      <c r="AC23" s="23">
        <f t="shared" si="4"/>
        <v>5329850.116633785</v>
      </c>
      <c r="AD23" s="23">
        <f t="shared" si="4"/>
        <v>5273789.7934783865</v>
      </c>
      <c r="AE23" s="23">
        <f t="shared" si="4"/>
        <v>5197753.5172522198</v>
      </c>
      <c r="AF23" s="23">
        <f t="shared" si="4"/>
        <v>0</v>
      </c>
      <c r="AG23" s="23">
        <f t="shared" si="4"/>
        <v>0</v>
      </c>
      <c r="AH23" s="23">
        <f t="shared" si="4"/>
        <v>0</v>
      </c>
      <c r="AI23" s="23">
        <f t="shared" si="4"/>
        <v>0</v>
      </c>
      <c r="AJ23" s="23">
        <f t="shared" si="4"/>
        <v>0</v>
      </c>
    </row>
    <row r="24" spans="2:36" s="11" customFormat="1" ht="16">
      <c r="E24" s="61"/>
    </row>
    <row r="25" spans="2:36" s="11" customFormat="1" ht="16">
      <c r="B25" s="16" t="s">
        <v>62</v>
      </c>
      <c r="C25" s="16"/>
      <c r="D25" s="16"/>
      <c r="E25" s="61"/>
    </row>
    <row r="26" spans="2:36" s="11" customFormat="1" ht="16">
      <c r="B26" s="16"/>
      <c r="C26" s="16"/>
      <c r="D26" s="16"/>
      <c r="E26" s="61"/>
    </row>
    <row r="27" spans="2:36" ht="16">
      <c r="B27" s="11" t="s">
        <v>101</v>
      </c>
      <c r="C27" s="11"/>
      <c r="D27" s="11"/>
      <c r="G27" s="290">
        <v>1</v>
      </c>
      <c r="H27" s="65">
        <f>G27*(1+IF(G$2&lt;=Inputs!$Q$21,Inputs!$Q$20,Inputs!$Q$22))</f>
        <v>1.02</v>
      </c>
      <c r="I27" s="65">
        <f>H27*(1+IF(H$2&lt;=Inputs!$Q$21,Inputs!$Q$20,Inputs!$Q$22))</f>
        <v>1.0404</v>
      </c>
      <c r="J27" s="65">
        <f>I27*(1+IF(I$2&lt;=Inputs!$Q$21,Inputs!$Q$20,Inputs!$Q$22))</f>
        <v>1.0612079999999999</v>
      </c>
      <c r="K27" s="65">
        <f>J27*(1+IF(J$2&lt;=Inputs!$Q$21,Inputs!$Q$20,Inputs!$Q$22))</f>
        <v>1.08243216</v>
      </c>
      <c r="L27" s="65">
        <f>K27*(1+IF(K$2&lt;=Inputs!$Q$21,Inputs!$Q$20,Inputs!$Q$22))</f>
        <v>1.1040808032</v>
      </c>
      <c r="M27" s="65">
        <f>L27*(1+IF(L$2&lt;=Inputs!$Q$21,Inputs!$Q$20,Inputs!$Q$22))</f>
        <v>1.1261624192640001</v>
      </c>
      <c r="N27" s="65">
        <f>M27*(1+IF(M$2&lt;=Inputs!$Q$21,Inputs!$Q$20,Inputs!$Q$22))</f>
        <v>1.14868566764928</v>
      </c>
      <c r="O27" s="65">
        <f>N27*(1+IF(N$2&lt;=Inputs!$Q$21,Inputs!$Q$20,Inputs!$Q$22))</f>
        <v>1.1716593810022657</v>
      </c>
      <c r="P27" s="65">
        <f>O27*(1+IF(O$2&lt;=Inputs!$Q$21,Inputs!$Q$20,Inputs!$Q$22))</f>
        <v>1.1950925686223111</v>
      </c>
      <c r="Q27" s="65">
        <f>P27*(1+IF(P$2&lt;=Inputs!$Q$21,Inputs!$Q$20,Inputs!$Q$22))</f>
        <v>1.2189944199947573</v>
      </c>
      <c r="R27" s="65">
        <f>Q27*(1+IF(Q$2&lt;=Inputs!$Q$21,Inputs!$Q$20,Inputs!$Q$22))</f>
        <v>1.2433743083946525</v>
      </c>
      <c r="S27" s="65">
        <f>R27*(1+IF(R$2&lt;=Inputs!$Q$21,Inputs!$Q$20,Inputs!$Q$22))</f>
        <v>1.2682417945625455</v>
      </c>
      <c r="T27" s="65">
        <f>S27*(1+IF(S$2&lt;=Inputs!$Q$21,Inputs!$Q$20,Inputs!$Q$22))</f>
        <v>1.2936066304537963</v>
      </c>
      <c r="U27" s="65">
        <f>T27*(1+IF(T$2&lt;=Inputs!$Q$21,Inputs!$Q$20,Inputs!$Q$22))</f>
        <v>1.3194787630628724</v>
      </c>
      <c r="V27" s="65">
        <f>U27*(1+IF(U$2&lt;=Inputs!$Q$21,Inputs!$Q$20,Inputs!$Q$22))</f>
        <v>1.3458683383241299</v>
      </c>
      <c r="W27" s="65">
        <f>V27*(1+IF(V$2&lt;=Inputs!$Q$21,Inputs!$Q$20,Inputs!$Q$22))</f>
        <v>1.3727857050906125</v>
      </c>
      <c r="X27" s="65">
        <f>W27*(1+IF(W$2&lt;=Inputs!$Q$21,Inputs!$Q$20,Inputs!$Q$22))</f>
        <v>1.4002414191924248</v>
      </c>
      <c r="Y27" s="65">
        <f>X27*(1+IF(X$2&lt;=Inputs!$Q$21,Inputs!$Q$20,Inputs!$Q$22))</f>
        <v>1.4282462475762734</v>
      </c>
      <c r="Z27" s="65">
        <f>Y27*(1+IF(Y$2&lt;=Inputs!$Q$21,Inputs!$Q$20,Inputs!$Q$22))</f>
        <v>1.4568111725277988</v>
      </c>
      <c r="AA27" s="65">
        <f>Z27*(1+IF(Z$2&lt;=Inputs!$Q$21,Inputs!$Q$20,Inputs!$Q$22))</f>
        <v>1.4859473959783549</v>
      </c>
      <c r="AB27" s="65">
        <f>AA27*(1+IF(AA$2&lt;=Inputs!$Q$21,Inputs!$Q$20,Inputs!$Q$22))</f>
        <v>1.5156663438979221</v>
      </c>
      <c r="AC27" s="65">
        <f>AB27*(1+IF(AB$2&lt;=Inputs!$Q$21,Inputs!$Q$20,Inputs!$Q$22))</f>
        <v>1.5459796707758806</v>
      </c>
      <c r="AD27" s="65">
        <f>AC27*(1+IF(AC$2&lt;=Inputs!$Q$21,Inputs!$Q$20,Inputs!$Q$22))</f>
        <v>1.5768992641913981</v>
      </c>
      <c r="AE27" s="65">
        <f>AD27*(1+IF(AD$2&lt;=Inputs!$Q$21,Inputs!$Q$20,Inputs!$Q$22))</f>
        <v>1.6084372494752261</v>
      </c>
      <c r="AF27" s="65">
        <f>AE27*(1+IF(AE$2&lt;=Inputs!$Q$21,Inputs!$Q$20,Inputs!$Q$22))</f>
        <v>1.6406059944647307</v>
      </c>
      <c r="AG27" s="65">
        <f>AF27*(1+IF(AF$2&lt;=Inputs!$Q$21,Inputs!$Q$20,Inputs!$Q$22))</f>
        <v>1.6734181143540252</v>
      </c>
      <c r="AH27" s="65">
        <f>AG27*(1+IF(AG$2&lt;=Inputs!$Q$21,Inputs!$Q$20,Inputs!$Q$22))</f>
        <v>1.7068864766411058</v>
      </c>
      <c r="AI27" s="65">
        <f>AH27*(1+IF(AH$2&lt;=Inputs!$Q$21,Inputs!$Q$20,Inputs!$Q$22))</f>
        <v>1.7410242061739281</v>
      </c>
      <c r="AJ27" s="65">
        <f>AI27*(1+IF(AI$2&lt;=Inputs!$Q$21,Inputs!$Q$20,Inputs!$Q$22))</f>
        <v>1.7758446902974065</v>
      </c>
    </row>
    <row r="28" spans="2:36" ht="16">
      <c r="B28" s="11"/>
      <c r="C28" s="11"/>
      <c r="D28" s="11"/>
      <c r="G28" s="290"/>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row>
    <row r="29" spans="2:36" s="11" customFormat="1" ht="16">
      <c r="B29" s="11" t="s">
        <v>336</v>
      </c>
      <c r="E29" s="59" t="s">
        <v>0</v>
      </c>
      <c r="F29" s="14"/>
      <c r="G29" s="66">
        <f>-IF(G$2&gt;Inputs!$G$17,0,Inputs!$Q$24*Inputs!$G$6*1000*G$27)</f>
        <v>-30000</v>
      </c>
      <c r="H29" s="66">
        <f>-IF(H$2&gt;Inputs!$G$17,0,Inputs!$Q$24*Inputs!$G$6*1000*H$27)</f>
        <v>-30600</v>
      </c>
      <c r="I29" s="66">
        <f>-IF(I$2&gt;Inputs!$G$17,0,Inputs!$Q$24*Inputs!$G$6*1000*I$27)</f>
        <v>-31212</v>
      </c>
      <c r="J29" s="66">
        <f>-IF(J$2&gt;Inputs!$G$17,0,Inputs!$Q$24*Inputs!$G$6*1000*J$27)</f>
        <v>-31836.239999999998</v>
      </c>
      <c r="K29" s="66">
        <f>-IF(K$2&gt;Inputs!$G$17,0,Inputs!$Q$24*Inputs!$G$6*1000*K$27)</f>
        <v>-32472.964799999998</v>
      </c>
      <c r="L29" s="66">
        <f>-IF(L$2&gt;Inputs!$G$17,0,Inputs!$Q$24*Inputs!$G$6*1000*L$27)</f>
        <v>-33122.424096000002</v>
      </c>
      <c r="M29" s="66">
        <f>-IF(M$2&gt;Inputs!$G$17,0,Inputs!$Q$24*Inputs!$G$6*1000*M$27)</f>
        <v>-33784.872577920003</v>
      </c>
      <c r="N29" s="66">
        <f>-IF(N$2&gt;Inputs!$G$17,0,Inputs!$Q$24*Inputs!$G$6*1000*N$27)</f>
        <v>-34460.570029478404</v>
      </c>
      <c r="O29" s="66">
        <f>-IF(O$2&gt;Inputs!$G$17,0,Inputs!$Q$24*Inputs!$G$6*1000*O$27)</f>
        <v>-35149.781430067975</v>
      </c>
      <c r="P29" s="66">
        <f>-IF(P$2&gt;Inputs!$G$17,0,Inputs!$Q$24*Inputs!$G$6*1000*P$27)</f>
        <v>-35852.77705866933</v>
      </c>
      <c r="Q29" s="66">
        <f>-IF(Q$2&gt;Inputs!$G$17,0,Inputs!$Q$24*Inputs!$G$6*1000*Q$27)</f>
        <v>-36569.832599842717</v>
      </c>
      <c r="R29" s="66">
        <f>-IF(R$2&gt;Inputs!$G$17,0,Inputs!$Q$24*Inputs!$G$6*1000*R$27)</f>
        <v>-37301.229251839577</v>
      </c>
      <c r="S29" s="66">
        <f>-IF(S$2&gt;Inputs!$G$17,0,Inputs!$Q$24*Inputs!$G$6*1000*S$27)</f>
        <v>-38047.253836876363</v>
      </c>
      <c r="T29" s="66">
        <f>-IF(T$2&gt;Inputs!$G$17,0,Inputs!$Q$24*Inputs!$G$6*1000*T$27)</f>
        <v>-38808.198913613887</v>
      </c>
      <c r="U29" s="66">
        <f>-IF(U$2&gt;Inputs!$G$17,0,Inputs!$Q$24*Inputs!$G$6*1000*U$27)</f>
        <v>-39584.362891886172</v>
      </c>
      <c r="V29" s="66">
        <f>-IF(V$2&gt;Inputs!$G$17,0,Inputs!$Q$24*Inputs!$G$6*1000*V$27)</f>
        <v>-40376.050149723895</v>
      </c>
      <c r="W29" s="66">
        <f>-IF(W$2&gt;Inputs!$G$17,0,Inputs!$Q$24*Inputs!$G$6*1000*W$27)</f>
        <v>-41183.571152718374</v>
      </c>
      <c r="X29" s="66">
        <f>-IF(X$2&gt;Inputs!$G$17,0,Inputs!$Q$24*Inputs!$G$6*1000*X$27)</f>
        <v>-42007.242575772747</v>
      </c>
      <c r="Y29" s="66">
        <f>-IF(Y$2&gt;Inputs!$G$17,0,Inputs!$Q$24*Inputs!$G$6*1000*Y$27)</f>
        <v>-42847.387427288202</v>
      </c>
      <c r="Z29" s="66">
        <f>-IF(Z$2&gt;Inputs!$G$17,0,Inputs!$Q$24*Inputs!$G$6*1000*Z$27)</f>
        <v>-43704.335175833963</v>
      </c>
      <c r="AA29" s="66">
        <f>-IF(AA$2&gt;Inputs!$G$17,0,Inputs!$Q$24*Inputs!$G$6*1000*AA$27)</f>
        <v>-44578.421879350644</v>
      </c>
      <c r="AB29" s="66">
        <f>-IF(AB$2&gt;Inputs!$G$17,0,Inputs!$Q$24*Inputs!$G$6*1000*AB$27)</f>
        <v>-45469.990316937663</v>
      </c>
      <c r="AC29" s="66">
        <f>-IF(AC$2&gt;Inputs!$G$17,0,Inputs!$Q$24*Inputs!$G$6*1000*AC$27)</f>
        <v>-46379.390123276418</v>
      </c>
      <c r="AD29" s="66">
        <f>-IF(AD$2&gt;Inputs!$G$17,0,Inputs!$Q$24*Inputs!$G$6*1000*AD$27)</f>
        <v>-47306.977925741943</v>
      </c>
      <c r="AE29" s="66">
        <f>-IF(AE$2&gt;Inputs!$G$17,0,Inputs!$Q$24*Inputs!$G$6*1000*AE$27)</f>
        <v>-48253.117484256785</v>
      </c>
      <c r="AF29" s="66">
        <f>-IF(AF$2&gt;Inputs!$G$17,0,Inputs!$Q$24*Inputs!$G$6*1000*AF$27)</f>
        <v>0</v>
      </c>
      <c r="AG29" s="66">
        <f>-IF(AG$2&gt;Inputs!$G$17,0,Inputs!$Q$24*Inputs!$G$6*1000*AG$27)</f>
        <v>0</v>
      </c>
      <c r="AH29" s="66">
        <f>-IF(AH$2&gt;Inputs!$G$17,0,Inputs!$Q$24*Inputs!$G$6*1000*AH$27)</f>
        <v>0</v>
      </c>
      <c r="AI29" s="66">
        <f>-IF(AI$2&gt;Inputs!$G$17,0,Inputs!$Q$24*Inputs!$G$6*1000*AI$27)</f>
        <v>0</v>
      </c>
      <c r="AJ29" s="66">
        <f>-IF(AJ$2&gt;Inputs!$G$17,0,Inputs!$Q$24*Inputs!$G$6*1000*AJ$27)</f>
        <v>0</v>
      </c>
    </row>
    <row r="30" spans="2:36" s="11" customFormat="1" ht="16">
      <c r="B30" s="11" t="s">
        <v>337</v>
      </c>
      <c r="E30" s="59" t="s">
        <v>0</v>
      </c>
      <c r="F30" s="14"/>
      <c r="G30" s="66">
        <f>-IF(G$2&gt;Inputs!$G$17,0,Inputs!$Q$25/100*G$5*G$27)</f>
        <v>-1123470</v>
      </c>
      <c r="H30" s="66">
        <f>-IF(H$2&gt;Inputs!$G$17,0,Inputs!$Q$25/100*H$5*H$27)</f>
        <v>-1140209.703</v>
      </c>
      <c r="I30" s="66">
        <f>-IF(I$2&gt;Inputs!$G$17,0,Inputs!$Q$25/100*I$5*I$27)</f>
        <v>-1157198.8275746999</v>
      </c>
      <c r="J30" s="66">
        <f>-IF(J$2&gt;Inputs!$G$17,0,Inputs!$Q$25/100*J$5*J$27)</f>
        <v>-1174441.0901055629</v>
      </c>
      <c r="K30" s="66">
        <f>-IF(K$2&gt;Inputs!$G$17,0,Inputs!$Q$25/100*K$5*K$27)</f>
        <v>-1191940.2623481359</v>
      </c>
      <c r="L30" s="66">
        <f>-IF(L$2&gt;Inputs!$G$17,0,Inputs!$Q$25/100*L$5*L$27)</f>
        <v>-1209700.172257123</v>
      </c>
      <c r="M30" s="66">
        <f>-IF(M$2&gt;Inputs!$G$17,0,Inputs!$Q$25/100*M$5*M$27)</f>
        <v>-1227724.7048237543</v>
      </c>
      <c r="N30" s="66">
        <f>-IF(N$2&gt;Inputs!$G$17,0,Inputs!$Q$25/100*N$5*N$27)</f>
        <v>-1246017.8029256281</v>
      </c>
      <c r="O30" s="66">
        <f>-IF(O$2&gt;Inputs!$G$17,0,Inputs!$Q$25/100*O$5*O$27)</f>
        <v>-1264583.4681892202</v>
      </c>
      <c r="P30" s="66">
        <f>-IF(P$2&gt;Inputs!$G$17,0,Inputs!$Q$25/100*P$5*P$27)</f>
        <v>-1283425.7618652396</v>
      </c>
      <c r="Q30" s="66">
        <f>-IF(Q$2&gt;Inputs!$G$17,0,Inputs!$Q$25/100*Q$5*Q$27)</f>
        <v>-1302548.8057170317</v>
      </c>
      <c r="R30" s="66">
        <f>-IF(R$2&gt;Inputs!$G$17,0,Inputs!$Q$25/100*R$5*R$27)</f>
        <v>-1311070.377104827</v>
      </c>
      <c r="S30" s="66">
        <f>-IF(S$2&gt;Inputs!$G$17,0,Inputs!$Q$25/100*S$5*S$27)</f>
        <v>-1297173.0311075158</v>
      </c>
      <c r="T30" s="66">
        <f>-IF(T$2&gt;Inputs!$G$17,0,Inputs!$Q$25/100*T$5*T$27)</f>
        <v>-1283422.9969777758</v>
      </c>
      <c r="U30" s="66">
        <f>-IF(U$2&gt;Inputs!$G$17,0,Inputs!$Q$25/100*U$5*U$27)</f>
        <v>-1269818.7132098116</v>
      </c>
      <c r="V30" s="66">
        <f>-IF(V$2&gt;Inputs!$G$17,0,Inputs!$Q$25/100*V$5*V$27)</f>
        <v>-1256358.6348497877</v>
      </c>
      <c r="W30" s="66">
        <f>-IF(W$2&gt;Inputs!$G$17,0,Inputs!$Q$25/100*W$5*W$27)</f>
        <v>-1243041.2333203799</v>
      </c>
      <c r="X30" s="66">
        <f>-IF(X$2&gt;Inputs!$G$17,0,Inputs!$Q$25/100*X$5*X$27)</f>
        <v>-1229864.996247184</v>
      </c>
      <c r="Y30" s="66">
        <f>-IF(Y$2&gt;Inputs!$G$17,0,Inputs!$Q$25/100*Y$5*Y$27)</f>
        <v>-1216828.4272869637</v>
      </c>
      <c r="Z30" s="66">
        <f>-IF(Z$2&gt;Inputs!$G$17,0,Inputs!$Q$25/100*Z$5*Z$27)</f>
        <v>-1365130.0359115347</v>
      </c>
      <c r="AA30" s="66">
        <f>-IF(AA$2&gt;Inputs!$G$17,0,Inputs!$Q$25/100*AA$5*AA$27)</f>
        <v>-1350659.6575308724</v>
      </c>
      <c r="AB30" s="66">
        <f>-IF(AB$2&gt;Inputs!$G$17,0,Inputs!$Q$25/100*AB$5*AB$27)</f>
        <v>-1336342.6651610453</v>
      </c>
      <c r="AC30" s="66">
        <f>-IF(AC$2&gt;Inputs!$G$17,0,Inputs!$Q$25/100*AC$5*AC$27)</f>
        <v>-1322177.4329103383</v>
      </c>
      <c r="AD30" s="66">
        <f>-IF(AD$2&gt;Inputs!$G$17,0,Inputs!$Q$25/100*AD$5*AD$27)</f>
        <v>-1308162.3521214884</v>
      </c>
      <c r="AE30" s="66">
        <f>-IF(AE$2&gt;Inputs!$G$17,0,Inputs!$Q$25/100*AE$5*AE$27)</f>
        <v>-1294295.8311890007</v>
      </c>
      <c r="AF30" s="66">
        <f>-IF(AF$2&gt;Inputs!$G$17,0,Inputs!$Q$25/100*AF$5*AF$27)</f>
        <v>0</v>
      </c>
      <c r="AG30" s="66">
        <f>-IF(AG$2&gt;Inputs!$G$17,0,Inputs!$Q$25/100*AG$5*AG$27)</f>
        <v>0</v>
      </c>
      <c r="AH30" s="66">
        <f>-IF(AH$2&gt;Inputs!$G$17,0,Inputs!$Q$25/100*AH$5*AH$27)</f>
        <v>0</v>
      </c>
      <c r="AI30" s="66">
        <f>-IF(AI$2&gt;Inputs!$G$17,0,Inputs!$Q$25/100*AI$5*AI$27)</f>
        <v>0</v>
      </c>
      <c r="AJ30" s="66">
        <f>-IF(AJ$2&gt;Inputs!$G$17,0,Inputs!$Q$25/100*AJ$5*AJ$27)</f>
        <v>0</v>
      </c>
    </row>
    <row r="31" spans="2:36" s="11" customFormat="1" ht="16">
      <c r="B31" s="11" t="s">
        <v>338</v>
      </c>
      <c r="E31" s="492" t="s">
        <v>0</v>
      </c>
      <c r="F31" s="14"/>
      <c r="G31" s="66">
        <f>-IF(G$2&gt;Inputs!$G$17,0,Inputs!$Q$27*Inputs!$G$6*1000*G$27)</f>
        <v>-30000</v>
      </c>
      <c r="H31" s="66">
        <f>-IF(H$2&gt;Inputs!$G$17,0,Inputs!$Q$27*Inputs!$G$6*1000*H$27)</f>
        <v>-30600</v>
      </c>
      <c r="I31" s="66">
        <f>-IF(I$2&gt;Inputs!$G$17,0,Inputs!$Q$27*Inputs!$G$6*1000*I$27)</f>
        <v>-31212</v>
      </c>
      <c r="J31" s="66">
        <f>-IF(J$2&gt;Inputs!$G$17,0,Inputs!$Q$27*Inputs!$G$6*1000*J$27)</f>
        <v>-31836.239999999998</v>
      </c>
      <c r="K31" s="66">
        <f>-IF(K$2&gt;Inputs!$G$17,0,Inputs!$Q$27*Inputs!$G$6*1000*K$27)</f>
        <v>-32472.964799999998</v>
      </c>
      <c r="L31" s="66">
        <f>-IF(L$2&gt;Inputs!$G$17,0,Inputs!$Q$27*Inputs!$G$6*1000*L$27)</f>
        <v>-33122.424096000002</v>
      </c>
      <c r="M31" s="66">
        <f>-IF(M$2&gt;Inputs!$G$17,0,Inputs!$Q$27*Inputs!$G$6*1000*M$27)</f>
        <v>-33784.872577920003</v>
      </c>
      <c r="N31" s="66">
        <f>-IF(N$2&gt;Inputs!$G$17,0,Inputs!$Q$27*Inputs!$G$6*1000*N$27)</f>
        <v>-34460.570029478404</v>
      </c>
      <c r="O31" s="66">
        <f>-IF(O$2&gt;Inputs!$G$17,0,Inputs!$Q$27*Inputs!$G$6*1000*O$27)</f>
        <v>-35149.781430067975</v>
      </c>
      <c r="P31" s="66">
        <f>-IF(P$2&gt;Inputs!$G$17,0,Inputs!$Q$27*Inputs!$G$6*1000*P$27)</f>
        <v>-35852.77705866933</v>
      </c>
      <c r="Q31" s="66">
        <f>-IF(Q$2&gt;Inputs!$G$17,0,Inputs!$Q$27*Inputs!$G$6*1000*Q$27)</f>
        <v>-36569.832599842717</v>
      </c>
      <c r="R31" s="66">
        <f>-IF(R$2&gt;Inputs!$G$17,0,Inputs!$Q$27*Inputs!$G$6*1000*R$27)</f>
        <v>-37301.229251839577</v>
      </c>
      <c r="S31" s="66">
        <f>-IF(S$2&gt;Inputs!$G$17,0,Inputs!$Q$27*Inputs!$G$6*1000*S$27)</f>
        <v>-38047.253836876363</v>
      </c>
      <c r="T31" s="66">
        <f>-IF(T$2&gt;Inputs!$G$17,0,Inputs!$Q$27*Inputs!$G$6*1000*T$27)</f>
        <v>-38808.198913613887</v>
      </c>
      <c r="U31" s="66">
        <f>-IF(U$2&gt;Inputs!$G$17,0,Inputs!$Q$27*Inputs!$G$6*1000*U$27)</f>
        <v>-39584.362891886172</v>
      </c>
      <c r="V31" s="66">
        <f>-IF(V$2&gt;Inputs!$G$17,0,Inputs!$Q$27*Inputs!$G$6*1000*V$27)</f>
        <v>-40376.050149723895</v>
      </c>
      <c r="W31" s="66">
        <f>-IF(W$2&gt;Inputs!$G$17,0,Inputs!$Q$27*Inputs!$G$6*1000*W$27)</f>
        <v>-41183.571152718374</v>
      </c>
      <c r="X31" s="66">
        <f>-IF(X$2&gt;Inputs!$G$17,0,Inputs!$Q$27*Inputs!$G$6*1000*X$27)</f>
        <v>-42007.242575772747</v>
      </c>
      <c r="Y31" s="66">
        <f>-IF(Y$2&gt;Inputs!$G$17,0,Inputs!$Q$27*Inputs!$G$6*1000*Y$27)</f>
        <v>-42847.387427288202</v>
      </c>
      <c r="Z31" s="66">
        <f>-IF(Z$2&gt;Inputs!$G$17,0,Inputs!$Q$27*Inputs!$G$6*1000*Z$27)</f>
        <v>-43704.335175833963</v>
      </c>
      <c r="AA31" s="66">
        <f>-IF(AA$2&gt;Inputs!$G$17,0,Inputs!$Q$27*Inputs!$G$6*1000*AA$27)</f>
        <v>-44578.421879350644</v>
      </c>
      <c r="AB31" s="66">
        <f>-IF(AB$2&gt;Inputs!$G$17,0,Inputs!$Q$27*Inputs!$G$6*1000*AB$27)</f>
        <v>-45469.990316937663</v>
      </c>
      <c r="AC31" s="66">
        <f>-IF(AC$2&gt;Inputs!$G$17,0,Inputs!$Q$27*Inputs!$G$6*1000*AC$27)</f>
        <v>-46379.390123276418</v>
      </c>
      <c r="AD31" s="66">
        <f>-IF(AD$2&gt;Inputs!$G$17,0,Inputs!$Q$27*Inputs!$G$6*1000*AD$27)</f>
        <v>-47306.977925741943</v>
      </c>
      <c r="AE31" s="66">
        <f>-IF(AE$2&gt;Inputs!$G$17,0,Inputs!$Q$27*Inputs!$G$6*1000*AE$27)</f>
        <v>-48253.117484256785</v>
      </c>
      <c r="AF31" s="66">
        <f>-IF(AF$2&gt;Inputs!$G$17,0,Inputs!$Q$27*Inputs!$G$6*1000*AF$27)</f>
        <v>0</v>
      </c>
      <c r="AG31" s="66">
        <f>-IF(AG$2&gt;Inputs!$G$17,0,Inputs!$Q$27*Inputs!$G$6*1000*AG$27)</f>
        <v>0</v>
      </c>
      <c r="AH31" s="66">
        <f>-IF(AH$2&gt;Inputs!$G$17,0,Inputs!$Q$27*Inputs!$G$6*1000*AH$27)</f>
        <v>0</v>
      </c>
      <c r="AI31" s="66">
        <f>-IF(AI$2&gt;Inputs!$G$17,0,Inputs!$Q$27*Inputs!$G$6*1000*AI$27)</f>
        <v>0</v>
      </c>
      <c r="AJ31" s="66">
        <f>-IF(AJ$2&gt;Inputs!$G$17,0,Inputs!$Q$27*Inputs!$G$6*1000*AJ$27)</f>
        <v>0</v>
      </c>
    </row>
    <row r="32" spans="2:36" s="11" customFormat="1" ht="16">
      <c r="B32" s="11" t="s">
        <v>339</v>
      </c>
      <c r="E32" s="492" t="s">
        <v>0</v>
      </c>
      <c r="G32" s="66">
        <f>-IF(G$2&gt;Inputs!$G$17,0,Inputs!$Q$28/100*G$5*G$27)</f>
        <v>-2246940</v>
      </c>
      <c r="H32" s="66">
        <f>-IF(H$2&gt;Inputs!$G$17,0,Inputs!$Q$28/100*H$5*H$27)</f>
        <v>-2280419.406</v>
      </c>
      <c r="I32" s="66">
        <f>-IF(I$2&gt;Inputs!$G$17,0,Inputs!$Q$28/100*I$5*I$27)</f>
        <v>-2314397.6551493998</v>
      </c>
      <c r="J32" s="66">
        <f>-IF(J$2&gt;Inputs!$G$17,0,Inputs!$Q$28/100*J$5*J$27)</f>
        <v>-2348882.1802111259</v>
      </c>
      <c r="K32" s="66">
        <f>-IF(K$2&gt;Inputs!$G$17,0,Inputs!$Q$28/100*K$5*K$27)</f>
        <v>-2383880.5246962719</v>
      </c>
      <c r="L32" s="66">
        <f>-IF(L$2&gt;Inputs!$G$17,0,Inputs!$Q$28/100*L$5*L$27)</f>
        <v>-2419400.3445142461</v>
      </c>
      <c r="M32" s="66">
        <f>-IF(M$2&gt;Inputs!$G$17,0,Inputs!$Q$28/100*M$5*M$27)</f>
        <v>-2455449.4096475085</v>
      </c>
      <c r="N32" s="66">
        <f>-IF(N$2&gt;Inputs!$G$17,0,Inputs!$Q$28/100*N$5*N$27)</f>
        <v>-2492035.6058512563</v>
      </c>
      <c r="O32" s="66">
        <f>-IF(O$2&gt;Inputs!$G$17,0,Inputs!$Q$28/100*O$5*O$27)</f>
        <v>-2529166.9363784404</v>
      </c>
      <c r="P32" s="66">
        <f>-IF(P$2&gt;Inputs!$G$17,0,Inputs!$Q$28/100*P$5*P$27)</f>
        <v>-2566851.5237304792</v>
      </c>
      <c r="Q32" s="66">
        <f>-IF(Q$2&gt;Inputs!$G$17,0,Inputs!$Q$28/100*Q$5*Q$27)</f>
        <v>-2605097.6114340634</v>
      </c>
      <c r="R32" s="66">
        <f>-IF(R$2&gt;Inputs!$G$17,0,Inputs!$Q$28/100*R$5*R$27)</f>
        <v>-2622140.7542096539</v>
      </c>
      <c r="S32" s="66">
        <f>-IF(S$2&gt;Inputs!$G$17,0,Inputs!$Q$28/100*S$5*S$27)</f>
        <v>-2594346.0622150316</v>
      </c>
      <c r="T32" s="66">
        <f>-IF(T$2&gt;Inputs!$G$17,0,Inputs!$Q$28/100*T$5*T$27)</f>
        <v>-2566845.9939555516</v>
      </c>
      <c r="U32" s="66">
        <f>-IF(U$2&gt;Inputs!$G$17,0,Inputs!$Q$28/100*U$5*U$27)</f>
        <v>-2539637.4264196232</v>
      </c>
      <c r="V32" s="66">
        <f>-IF(V$2&gt;Inputs!$G$17,0,Inputs!$Q$28/100*V$5*V$27)</f>
        <v>-2512717.2696995754</v>
      </c>
      <c r="W32" s="66">
        <f>-IF(W$2&gt;Inputs!$G$17,0,Inputs!$Q$28/100*W$5*W$27)</f>
        <v>-2486082.4666407597</v>
      </c>
      <c r="X32" s="66">
        <f>-IF(X$2&gt;Inputs!$G$17,0,Inputs!$Q$28/100*X$5*X$27)</f>
        <v>-2459729.992494368</v>
      </c>
      <c r="Y32" s="66">
        <f>-IF(Y$2&gt;Inputs!$G$17,0,Inputs!$Q$28/100*Y$5*Y$27)</f>
        <v>-2433656.8545739274</v>
      </c>
      <c r="Z32" s="66">
        <f>-IF(Z$2&gt;Inputs!$G$17,0,Inputs!$Q$28/100*Z$5*Z$27)</f>
        <v>-2730260.0718230694</v>
      </c>
      <c r="AA32" s="66">
        <f>-IF(AA$2&gt;Inputs!$G$17,0,Inputs!$Q$28/100*AA$5*AA$27)</f>
        <v>-2701319.3150617448</v>
      </c>
      <c r="AB32" s="66">
        <f>-IF(AB$2&gt;Inputs!$G$17,0,Inputs!$Q$28/100*AB$5*AB$27)</f>
        <v>-2672685.3303220905</v>
      </c>
      <c r="AC32" s="66">
        <f>-IF(AC$2&gt;Inputs!$G$17,0,Inputs!$Q$28/100*AC$5*AC$27)</f>
        <v>-2644354.8658206766</v>
      </c>
      <c r="AD32" s="66">
        <f>-IF(AD$2&gt;Inputs!$G$17,0,Inputs!$Q$28/100*AD$5*AD$27)</f>
        <v>-2616324.7042429768</v>
      </c>
      <c r="AE32" s="66">
        <f>-IF(AE$2&gt;Inputs!$G$17,0,Inputs!$Q$28/100*AE$5*AE$27)</f>
        <v>-2588591.6623780015</v>
      </c>
      <c r="AF32" s="66">
        <f>-IF(AF$2&gt;Inputs!$G$17,0,Inputs!$Q$28/100*AF$5*AF$27)</f>
        <v>0</v>
      </c>
      <c r="AG32" s="66">
        <f>-IF(AG$2&gt;Inputs!$G$17,0,Inputs!$Q$28/100*AG$5*AG$27)</f>
        <v>0</v>
      </c>
      <c r="AH32" s="66">
        <f>-IF(AH$2&gt;Inputs!$G$17,0,Inputs!$Q$28/100*AH$5*AH$27)</f>
        <v>0</v>
      </c>
      <c r="AI32" s="66">
        <f>-IF(AI$2&gt;Inputs!$G$17,0,Inputs!$Q$28/100*AI$5*AI$27)</f>
        <v>0</v>
      </c>
      <c r="AJ32" s="66">
        <f>-IF(AJ$2&gt;Inputs!$G$17,0,Inputs!$Q$28/100*AJ$5*AJ$27)</f>
        <v>0</v>
      </c>
    </row>
    <row r="33" spans="2:36" s="11" customFormat="1" ht="16">
      <c r="B33" s="11" t="s">
        <v>64</v>
      </c>
      <c r="E33" s="59" t="s">
        <v>0</v>
      </c>
      <c r="G33" s="66">
        <f>-IF(Inputs!$Q$17="simple",0,IF(G$2&gt;Inputs!$G$17,0,Inputs!$Q$31*G$27))</f>
        <v>-516248.97381250001</v>
      </c>
      <c r="H33" s="66">
        <f>-IF(Inputs!$Q$17="simple",0,IF(H$2&gt;Inputs!$G$17,0,Inputs!$Q$31*H$27))</f>
        <v>-526573.95328875002</v>
      </c>
      <c r="I33" s="66">
        <f>-IF(Inputs!$Q$17="simple",0,IF(I$2&gt;Inputs!$G$17,0,Inputs!$Q$31*I$27))</f>
        <v>-537105.43235452496</v>
      </c>
      <c r="J33" s="66">
        <f>-IF(Inputs!$Q$17="simple",0,IF(J$2&gt;Inputs!$G$17,0,Inputs!$Q$31*J$27))</f>
        <v>-547847.54100161546</v>
      </c>
      <c r="K33" s="66">
        <f>-IF(Inputs!$Q$17="simple",0,IF(K$2&gt;Inputs!$G$17,0,Inputs!$Q$31*K$27))</f>
        <v>-558804.49182164785</v>
      </c>
      <c r="L33" s="66">
        <f>-IF(Inputs!$Q$17="simple",0,IF(L$2&gt;Inputs!$G$17,0,Inputs!$Q$31*L$27))</f>
        <v>-569980.5816580808</v>
      </c>
      <c r="M33" s="66">
        <f>-IF(Inputs!$Q$17="simple",0,IF(M$2&gt;Inputs!$G$17,0,Inputs!$Q$31*M$27))</f>
        <v>-581380.19329124247</v>
      </c>
      <c r="N33" s="66">
        <f>-IF(Inputs!$Q$17="simple",0,IF(N$2&gt;Inputs!$G$17,0,Inputs!$Q$31*N$27))</f>
        <v>-593007.79715706722</v>
      </c>
      <c r="O33" s="66">
        <f>-IF(Inputs!$Q$17="simple",0,IF(O$2&gt;Inputs!$G$17,0,Inputs!$Q$31*O$27))</f>
        <v>-604867.95310020866</v>
      </c>
      <c r="P33" s="66">
        <f>-IF(Inputs!$Q$17="simple",0,IF(P$2&gt;Inputs!$G$17,0,Inputs!$Q$31*P$27))</f>
        <v>-616965.31216221279</v>
      </c>
      <c r="Q33" s="66">
        <f>-IF(Inputs!$Q$17="simple",0,IF(Q$2&gt;Inputs!$G$17,0,Inputs!$Q$31*Q$27))</f>
        <v>-629304.61840545712</v>
      </c>
      <c r="R33" s="66">
        <f>-IF(Inputs!$Q$17="simple",0,IF(R$2&gt;Inputs!$G$17,0,Inputs!$Q$31*R$27))</f>
        <v>-641890.71077356627</v>
      </c>
      <c r="S33" s="66">
        <f>-IF(Inputs!$Q$17="simple",0,IF(S$2&gt;Inputs!$G$17,0,Inputs!$Q$31*S$27))</f>
        <v>-654728.52498903754</v>
      </c>
      <c r="T33" s="66">
        <f>-IF(Inputs!$Q$17="simple",0,IF(T$2&gt;Inputs!$G$17,0,Inputs!$Q$31*T$27))</f>
        <v>-667823.09548881825</v>
      </c>
      <c r="U33" s="66">
        <f>-IF(Inputs!$Q$17="simple",0,IF(U$2&gt;Inputs!$G$17,0,Inputs!$Q$31*U$27))</f>
        <v>-681179.55739859468</v>
      </c>
      <c r="V33" s="66">
        <f>-IF(Inputs!$Q$17="simple",0,IF(V$2&gt;Inputs!$G$17,0,Inputs!$Q$31*V$27))</f>
        <v>-694803.1485465666</v>
      </c>
      <c r="W33" s="66">
        <f>-IF(Inputs!$Q$17="simple",0,IF(W$2&gt;Inputs!$G$17,0,Inputs!$Q$31*W$27))</f>
        <v>-708699.21151749801</v>
      </c>
      <c r="X33" s="66">
        <f>-IF(Inputs!$Q$17="simple",0,IF(X$2&gt;Inputs!$G$17,0,Inputs!$Q$31*X$27))</f>
        <v>-722873.19574784802</v>
      </c>
      <c r="Y33" s="66">
        <f>-IF(Inputs!$Q$17="simple",0,IF(Y$2&gt;Inputs!$G$17,0,Inputs!$Q$31*Y$27))</f>
        <v>-737330.65966280492</v>
      </c>
      <c r="Z33" s="66">
        <f>-IF(Inputs!$Q$17="simple",0,IF(Z$2&gt;Inputs!$G$17,0,Inputs!$Q$31*Z$27))</f>
        <v>-752077.272856061</v>
      </c>
      <c r="AA33" s="66">
        <f>-IF(Inputs!$Q$17="simple",0,IF(AA$2&gt;Inputs!$G$17,0,Inputs!$Q$31*AA$27))</f>
        <v>-767118.81831318233</v>
      </c>
      <c r="AB33" s="66">
        <f>-IF(Inputs!$Q$17="simple",0,IF(AB$2&gt;Inputs!$G$17,0,Inputs!$Q$31*AB$27))</f>
        <v>-782461.19467944605</v>
      </c>
      <c r="AC33" s="66">
        <f>-IF(Inputs!$Q$17="simple",0,IF(AC$2&gt;Inputs!$G$17,0,Inputs!$Q$31*AC$27))</f>
        <v>-798110.41857303493</v>
      </c>
      <c r="AD33" s="66">
        <f>-IF(Inputs!$Q$17="simple",0,IF(AD$2&gt;Inputs!$G$17,0,Inputs!$Q$31*AD$27))</f>
        <v>-814072.6269444956</v>
      </c>
      <c r="AE33" s="66">
        <f>-IF(Inputs!$Q$17="simple",0,IF(AE$2&gt;Inputs!$G$17,0,Inputs!$Q$31*AE$27))</f>
        <v>-830354.07948338555</v>
      </c>
      <c r="AF33" s="66">
        <f>-IF(Inputs!$Q$17="simple",0,IF(AF$2&gt;Inputs!$G$17,0,Inputs!$Q$31*AF$27))</f>
        <v>0</v>
      </c>
      <c r="AG33" s="66">
        <f>-IF(Inputs!$Q$17="simple",0,IF(AG$2&gt;Inputs!$G$17,0,Inputs!$Q$31*AG$27))</f>
        <v>0</v>
      </c>
      <c r="AH33" s="66">
        <f>-IF(Inputs!$Q$17="simple",0,IF(AH$2&gt;Inputs!$G$17,0,Inputs!$Q$31*AH$27))</f>
        <v>0</v>
      </c>
      <c r="AI33" s="66">
        <f>-IF(Inputs!$Q$17="simple",0,IF(AI$2&gt;Inputs!$G$17,0,Inputs!$Q$31*AI$27))</f>
        <v>0</v>
      </c>
      <c r="AJ33" s="66">
        <f>-IF(Inputs!$Q$17="simple",0,IF(AJ$2&gt;Inputs!$G$17,0,Inputs!$Q$31*AJ$27))</f>
        <v>0</v>
      </c>
    </row>
    <row r="34" spans="2:36" s="11" customFormat="1" ht="16">
      <c r="B34" s="11" t="s">
        <v>63</v>
      </c>
      <c r="E34" s="59" t="s">
        <v>0</v>
      </c>
      <c r="G34" s="66">
        <f>-IF(Inputs!$Q$17="simple",0,IF(G$2&gt;Inputs!$G$17,0,Inputs!$Q$32*G$27))</f>
        <v>-50000</v>
      </c>
      <c r="H34" s="66">
        <f>-IF(Inputs!$Q$17="simple",0,IF(H$2&gt;Inputs!$G$17,0,Inputs!$Q$32*H$27))</f>
        <v>-51000</v>
      </c>
      <c r="I34" s="66">
        <f>-IF(Inputs!$Q$17="simple",0,IF(I$2&gt;Inputs!$G$17,0,Inputs!$Q$32*I$27))</f>
        <v>-52020</v>
      </c>
      <c r="J34" s="66">
        <f>-IF(Inputs!$Q$17="simple",0,IF(J$2&gt;Inputs!$G$17,0,Inputs!$Q$32*J$27))</f>
        <v>-53060.399999999994</v>
      </c>
      <c r="K34" s="66">
        <f>-IF(Inputs!$Q$17="simple",0,IF(K$2&gt;Inputs!$G$17,0,Inputs!$Q$32*K$27))</f>
        <v>-54121.608</v>
      </c>
      <c r="L34" s="66">
        <f>-IF(Inputs!$Q$17="simple",0,IF(L$2&gt;Inputs!$G$17,0,Inputs!$Q$32*L$27))</f>
        <v>-55204.040160000004</v>
      </c>
      <c r="M34" s="66">
        <f>-IF(Inputs!$Q$17="simple",0,IF(M$2&gt;Inputs!$G$17,0,Inputs!$Q$32*M$27))</f>
        <v>-56308.120963200003</v>
      </c>
      <c r="N34" s="66">
        <f>-IF(Inputs!$Q$17="simple",0,IF(N$2&gt;Inputs!$G$17,0,Inputs!$Q$32*N$27))</f>
        <v>-57434.283382464004</v>
      </c>
      <c r="O34" s="66">
        <f>-IF(Inputs!$Q$17="simple",0,IF(O$2&gt;Inputs!$G$17,0,Inputs!$Q$32*O$27))</f>
        <v>-58582.969050113286</v>
      </c>
      <c r="P34" s="66">
        <f>-IF(Inputs!$Q$17="simple",0,IF(P$2&gt;Inputs!$G$17,0,Inputs!$Q$32*P$27))</f>
        <v>-59754.628431115554</v>
      </c>
      <c r="Q34" s="66">
        <f>-IF(Inputs!$Q$17="simple",0,IF(Q$2&gt;Inputs!$G$17,0,Inputs!$Q$32*Q$27))</f>
        <v>-60949.720999737867</v>
      </c>
      <c r="R34" s="66">
        <f>-IF(Inputs!$Q$17="simple",0,IF(R$2&gt;Inputs!$G$17,0,Inputs!$Q$32*R$27))</f>
        <v>-62168.715419732624</v>
      </c>
      <c r="S34" s="66">
        <f>-IF(Inputs!$Q$17="simple",0,IF(S$2&gt;Inputs!$G$17,0,Inputs!$Q$32*S$27))</f>
        <v>-63412.089728127277</v>
      </c>
      <c r="T34" s="66">
        <f>-IF(Inputs!$Q$17="simple",0,IF(T$2&gt;Inputs!$G$17,0,Inputs!$Q$32*T$27))</f>
        <v>-64680.331522689812</v>
      </c>
      <c r="U34" s="66">
        <f>-IF(Inputs!$Q$17="simple",0,IF(U$2&gt;Inputs!$G$17,0,Inputs!$Q$32*U$27))</f>
        <v>-65973.938153143623</v>
      </c>
      <c r="V34" s="66">
        <f>-IF(Inputs!$Q$17="simple",0,IF(V$2&gt;Inputs!$G$17,0,Inputs!$Q$32*V$27))</f>
        <v>-67293.416916206494</v>
      </c>
      <c r="W34" s="66">
        <f>-IF(Inputs!$Q$17="simple",0,IF(W$2&gt;Inputs!$G$17,0,Inputs!$Q$32*W$27))</f>
        <v>-68639.285254530623</v>
      </c>
      <c r="X34" s="66">
        <f>-IF(Inputs!$Q$17="simple",0,IF(X$2&gt;Inputs!$G$17,0,Inputs!$Q$32*X$27))</f>
        <v>-70012.07095962124</v>
      </c>
      <c r="Y34" s="66">
        <f>-IF(Inputs!$Q$17="simple",0,IF(Y$2&gt;Inputs!$G$17,0,Inputs!$Q$32*Y$27))</f>
        <v>-71412.312378813673</v>
      </c>
      <c r="Z34" s="66">
        <f>-IF(Inputs!$Q$17="simple",0,IF(Z$2&gt;Inputs!$G$17,0,Inputs!$Q$32*Z$27))</f>
        <v>-72840.558626389946</v>
      </c>
      <c r="AA34" s="66">
        <f>-IF(Inputs!$Q$17="simple",0,IF(AA$2&gt;Inputs!$G$17,0,Inputs!$Q$32*AA$27))</f>
        <v>-74297.369798917745</v>
      </c>
      <c r="AB34" s="66">
        <f>-IF(Inputs!$Q$17="simple",0,IF(AB$2&gt;Inputs!$G$17,0,Inputs!$Q$32*AB$27))</f>
        <v>-75783.31719489611</v>
      </c>
      <c r="AC34" s="66">
        <f>-IF(Inputs!$Q$17="simple",0,IF(AC$2&gt;Inputs!$G$17,0,Inputs!$Q$32*AC$27))</f>
        <v>-77298.983538794026</v>
      </c>
      <c r="AD34" s="66">
        <f>-IF(Inputs!$Q$17="simple",0,IF(AD$2&gt;Inputs!$G$17,0,Inputs!$Q$32*AD$27))</f>
        <v>-78844.963209569905</v>
      </c>
      <c r="AE34" s="66">
        <f>-IF(Inputs!$Q$17="simple",0,IF(AE$2&gt;Inputs!$G$17,0,Inputs!$Q$32*AE$27))</f>
        <v>-80421.862473761314</v>
      </c>
      <c r="AF34" s="66">
        <f>-IF(Inputs!$Q$17="simple",0,IF(AF$2&gt;Inputs!$G$17,0,Inputs!$Q$32*AF$27))</f>
        <v>0</v>
      </c>
      <c r="AG34" s="66">
        <f>-IF(Inputs!$Q$17="simple",0,IF(AG$2&gt;Inputs!$G$17,0,Inputs!$Q$32*AG$27))</f>
        <v>0</v>
      </c>
      <c r="AH34" s="66">
        <f>-IF(Inputs!$Q$17="simple",0,IF(AH$2&gt;Inputs!$G$17,0,Inputs!$Q$32*AH$27))</f>
        <v>0</v>
      </c>
      <c r="AI34" s="66">
        <f>-IF(Inputs!$Q$17="simple",0,IF(AI$2&gt;Inputs!$G$17,0,Inputs!$Q$32*AI$27))</f>
        <v>0</v>
      </c>
      <c r="AJ34" s="66">
        <f>-IF(Inputs!$Q$17="simple",0,IF(AJ$2&gt;Inputs!$G$17,0,Inputs!$Q$32*AJ$27))</f>
        <v>0</v>
      </c>
    </row>
    <row r="35" spans="2:36" s="11" customFormat="1" ht="16">
      <c r="B35" s="11" t="s">
        <v>348</v>
      </c>
      <c r="E35" s="492" t="s">
        <v>0</v>
      </c>
      <c r="G35" s="66">
        <f>-IF(Inputs!$Q$17="simple",0,IF(G$2&gt;Inputs!$G$17,0,Inputs!$Q$35*G$27))</f>
        <v>-5000</v>
      </c>
      <c r="H35" s="66">
        <f>-IF(Inputs!$Q$17="simple",0,IF(H$2&gt;Inputs!$G$17,0,Inputs!$Q$35*H$27))</f>
        <v>-5100</v>
      </c>
      <c r="I35" s="66">
        <f>-IF(Inputs!$Q$17="simple",0,IF(I$2&gt;Inputs!$G$17,0,Inputs!$Q$35*I$27))</f>
        <v>-5202</v>
      </c>
      <c r="J35" s="66">
        <f>-IF(Inputs!$Q$17="simple",0,IF(J$2&gt;Inputs!$G$17,0,Inputs!$Q$35*J$27))</f>
        <v>-5306.04</v>
      </c>
      <c r="K35" s="66">
        <f>-IF(Inputs!$Q$17="simple",0,IF(K$2&gt;Inputs!$G$17,0,Inputs!$Q$35*K$27))</f>
        <v>-5412.1607999999997</v>
      </c>
      <c r="L35" s="66">
        <f>-IF(Inputs!$Q$17="simple",0,IF(L$2&gt;Inputs!$G$17,0,Inputs!$Q$35*L$27))</f>
        <v>-5520.4040160000004</v>
      </c>
      <c r="M35" s="66">
        <f>-IF(Inputs!$Q$17="simple",0,IF(M$2&gt;Inputs!$G$17,0,Inputs!$Q$35*M$27))</f>
        <v>-5630.8120963199999</v>
      </c>
      <c r="N35" s="66">
        <f>-IF(Inputs!$Q$17="simple",0,IF(N$2&gt;Inputs!$G$17,0,Inputs!$Q$35*N$27))</f>
        <v>-5743.4283382464</v>
      </c>
      <c r="O35" s="66">
        <f>-IF(Inputs!$Q$17="simple",0,IF(O$2&gt;Inputs!$G$17,0,Inputs!$Q$35*O$27))</f>
        <v>-5858.2969050113288</v>
      </c>
      <c r="P35" s="66">
        <f>-IF(Inputs!$Q$17="simple",0,IF(P$2&gt;Inputs!$G$17,0,Inputs!$Q$35*P$27))</f>
        <v>-5975.4628431115552</v>
      </c>
      <c r="Q35" s="66">
        <f>-IF(Inputs!$Q$17="simple",0,IF(Q$2&gt;Inputs!$G$17,0,Inputs!$Q$35*Q$27))</f>
        <v>-6094.9720999737865</v>
      </c>
      <c r="R35" s="66">
        <f>-IF(Inputs!$Q$17="simple",0,IF(R$2&gt;Inputs!$G$17,0,Inputs!$Q$35*R$27))</f>
        <v>-6216.8715419732625</v>
      </c>
      <c r="S35" s="66">
        <f>-IF(Inputs!$Q$17="simple",0,IF(S$2&gt;Inputs!$G$17,0,Inputs!$Q$35*S$27))</f>
        <v>-6341.2089728127276</v>
      </c>
      <c r="T35" s="66">
        <f>-IF(Inputs!$Q$17="simple",0,IF(T$2&gt;Inputs!$G$17,0,Inputs!$Q$35*T$27))</f>
        <v>-6468.0331522689812</v>
      </c>
      <c r="U35" s="66">
        <f>-IF(Inputs!$Q$17="simple",0,IF(U$2&gt;Inputs!$G$17,0,Inputs!$Q$35*U$27))</f>
        <v>-6597.3938153143617</v>
      </c>
      <c r="V35" s="66">
        <f>-IF(Inputs!$Q$17="simple",0,IF(V$2&gt;Inputs!$G$17,0,Inputs!$Q$35*V$27))</f>
        <v>-6729.3416916206497</v>
      </c>
      <c r="W35" s="66">
        <f>-IF(Inputs!$Q$17="simple",0,IF(W$2&gt;Inputs!$G$17,0,Inputs!$Q$35*W$27))</f>
        <v>-6863.9285254530623</v>
      </c>
      <c r="X35" s="66">
        <f>-IF(Inputs!$Q$17="simple",0,IF(X$2&gt;Inputs!$G$17,0,Inputs!$Q$35*X$27))</f>
        <v>-7001.2070959621242</v>
      </c>
      <c r="Y35" s="66">
        <f>-IF(Inputs!$Q$17="simple",0,IF(Y$2&gt;Inputs!$G$17,0,Inputs!$Q$35*Y$27))</f>
        <v>-7141.2312378813667</v>
      </c>
      <c r="Z35" s="66">
        <f>-IF(Inputs!$Q$17="simple",0,IF(Z$2&gt;Inputs!$G$17,0,Inputs!$Q$35*Z$27))</f>
        <v>-7284.0558626389939</v>
      </c>
      <c r="AA35" s="66">
        <f>-IF(Inputs!$Q$17="simple",0,IF(AA$2&gt;Inputs!$G$17,0,Inputs!$Q$35*AA$27))</f>
        <v>-7429.7369798917744</v>
      </c>
      <c r="AB35" s="66">
        <f>-IF(Inputs!$Q$17="simple",0,IF(AB$2&gt;Inputs!$G$17,0,Inputs!$Q$35*AB$27))</f>
        <v>-7578.3317194896108</v>
      </c>
      <c r="AC35" s="66">
        <f>-IF(Inputs!$Q$17="simple",0,IF(AC$2&gt;Inputs!$G$17,0,Inputs!$Q$35*AC$27))</f>
        <v>-7729.8983538794027</v>
      </c>
      <c r="AD35" s="66">
        <f>-IF(Inputs!$Q$17="simple",0,IF(AD$2&gt;Inputs!$G$17,0,Inputs!$Q$35*AD$27))</f>
        <v>-7884.4963209569905</v>
      </c>
      <c r="AE35" s="66">
        <f>-IF(Inputs!$Q$17="simple",0,IF(AE$2&gt;Inputs!$G$17,0,Inputs!$Q$35*AE$27))</f>
        <v>-8042.1862473761312</v>
      </c>
      <c r="AF35" s="66">
        <f>-IF(Inputs!$Q$17="simple",0,IF(AF$2&gt;Inputs!$G$17,0,Inputs!$Q$35*AF$27))</f>
        <v>0</v>
      </c>
      <c r="AG35" s="66">
        <f>-IF(Inputs!$Q$17="simple",0,IF(AG$2&gt;Inputs!$G$17,0,Inputs!$Q$35*AG$27))</f>
        <v>0</v>
      </c>
      <c r="AH35" s="66">
        <f>-IF(Inputs!$Q$17="simple",0,IF(AH$2&gt;Inputs!$G$17,0,Inputs!$Q$35*AH$27))</f>
        <v>0</v>
      </c>
      <c r="AI35" s="66">
        <f>-IF(Inputs!$Q$17="simple",0,IF(AI$2&gt;Inputs!$G$17,0,Inputs!$Q$35*AI$27))</f>
        <v>0</v>
      </c>
      <c r="AJ35" s="66">
        <f>-IF(Inputs!$Q$17="simple",0,IF(AJ$2&gt;Inputs!$G$17,0,Inputs!$Q$35*AJ$27))</f>
        <v>0</v>
      </c>
    </row>
    <row r="36" spans="2:36" s="11" customFormat="1" ht="16">
      <c r="B36" s="11" t="s">
        <v>102</v>
      </c>
      <c r="E36" s="59" t="s">
        <v>0</v>
      </c>
      <c r="G36" s="66">
        <f>IF(Inputs!$Q$17="simple",0,IF(G$2&gt;Inputs!$G$17,0,-Inputs!$Q$33))</f>
        <v>-75000</v>
      </c>
      <c r="H36" s="66">
        <f>IF(Inputs!$Q$17="simple",0,IF(H$2&gt;Inputs!$G$17,0,-Inputs!$Q$33))</f>
        <v>-75000</v>
      </c>
      <c r="I36" s="66">
        <f>IF(Inputs!$Q$17="simple",0,IF(I$2&gt;Inputs!$G$17,0,-Inputs!$Q$33))</f>
        <v>-75000</v>
      </c>
      <c r="J36" s="66">
        <f>IF(Inputs!$Q$17="simple",0,IF(J$2&gt;Inputs!$G$17,0,-Inputs!$Q$33))</f>
        <v>-75000</v>
      </c>
      <c r="K36" s="66">
        <f>IF(Inputs!$Q$17="simple",0,IF(K$2&gt;Inputs!$G$17,0,-Inputs!$Q$33))</f>
        <v>-75000</v>
      </c>
      <c r="L36" s="66">
        <f>IF(Inputs!$Q$17="simple",0,IF(L$2&gt;Inputs!$G$17,0,-Inputs!$Q$33))</f>
        <v>-75000</v>
      </c>
      <c r="M36" s="66">
        <f>IF(Inputs!$Q$17="simple",0,IF(M$2&gt;Inputs!$G$17,0,-Inputs!$Q$33))</f>
        <v>-75000</v>
      </c>
      <c r="N36" s="66">
        <f>IF(Inputs!$Q$17="simple",0,IF(N$2&gt;Inputs!$G$17,0,-Inputs!$Q$33))</f>
        <v>-75000</v>
      </c>
      <c r="O36" s="66">
        <f>IF(Inputs!$Q$17="simple",0,IF(O$2&gt;Inputs!$G$17,0,-Inputs!$Q$33))</f>
        <v>-75000</v>
      </c>
      <c r="P36" s="66">
        <f>IF(Inputs!$Q$17="simple",0,IF(P$2&gt;Inputs!$G$17,0,-Inputs!$Q$33))</f>
        <v>-75000</v>
      </c>
      <c r="Q36" s="66">
        <f>IF(Inputs!$Q$17="simple",0,IF(Q$2&gt;Inputs!$G$17,0,-Inputs!$Q$33))</f>
        <v>-75000</v>
      </c>
      <c r="R36" s="66">
        <f>IF(Inputs!$Q$17="simple",0,IF(R$2&gt;Inputs!$G$17,0,-Inputs!$Q$33))</f>
        <v>-75000</v>
      </c>
      <c r="S36" s="66">
        <f>IF(Inputs!$Q$17="simple",0,IF(S$2&gt;Inputs!$G$17,0,-Inputs!$Q$33))</f>
        <v>-75000</v>
      </c>
      <c r="T36" s="66">
        <f>IF(Inputs!$Q$17="simple",0,IF(T$2&gt;Inputs!$G$17,0,-Inputs!$Q$33))</f>
        <v>-75000</v>
      </c>
      <c r="U36" s="66">
        <f>IF(Inputs!$Q$17="simple",0,IF(U$2&gt;Inputs!$G$17,0,-Inputs!$Q$33))</f>
        <v>-75000</v>
      </c>
      <c r="V36" s="66">
        <f>IF(Inputs!$Q$17="simple",0,IF(V$2&gt;Inputs!$G$17,0,-Inputs!$Q$33))</f>
        <v>-75000</v>
      </c>
      <c r="W36" s="66">
        <f>IF(Inputs!$Q$17="simple",0,IF(W$2&gt;Inputs!$G$17,0,-Inputs!$Q$33))</f>
        <v>-75000</v>
      </c>
      <c r="X36" s="66">
        <f>IF(Inputs!$Q$17="simple",0,IF(X$2&gt;Inputs!$G$17,0,-Inputs!$Q$33))</f>
        <v>-75000</v>
      </c>
      <c r="Y36" s="66">
        <f>IF(Inputs!$Q$17="simple",0,IF(Y$2&gt;Inputs!$G$17,0,-Inputs!$Q$33))</f>
        <v>-75000</v>
      </c>
      <c r="Z36" s="66">
        <f>IF(Inputs!$Q$17="simple",0,IF(Z$2&gt;Inputs!$G$17,0,-Inputs!$Q$33))</f>
        <v>-75000</v>
      </c>
      <c r="AA36" s="66">
        <f>IF(Inputs!$Q$17="simple",0,IF(AA$2&gt;Inputs!$G$17,0,-Inputs!$Q$33))</f>
        <v>-75000</v>
      </c>
      <c r="AB36" s="66">
        <f>IF(Inputs!$Q$17="simple",0,IF(AB$2&gt;Inputs!$G$17,0,-Inputs!$Q$33))</f>
        <v>-75000</v>
      </c>
      <c r="AC36" s="66">
        <f>IF(Inputs!$Q$17="simple",0,IF(AC$2&gt;Inputs!$G$17,0,-Inputs!$Q$33))</f>
        <v>-75000</v>
      </c>
      <c r="AD36" s="66">
        <f>IF(Inputs!$Q$17="simple",0,IF(AD$2&gt;Inputs!$G$17,0,-Inputs!$Q$33))</f>
        <v>-75000</v>
      </c>
      <c r="AE36" s="66">
        <f>IF(Inputs!$Q$17="simple",0,IF(AE$2&gt;Inputs!$G$17,0,-Inputs!$Q$33))</f>
        <v>-75000</v>
      </c>
      <c r="AF36" s="66">
        <f>IF(Inputs!$Q$17="simple",0,IF(AF$2&gt;Inputs!$G$17,0,-Inputs!$Q$33))</f>
        <v>0</v>
      </c>
      <c r="AG36" s="66">
        <f>IF(Inputs!$Q$17="simple",0,IF(AG$2&gt;Inputs!$G$17,0,-Inputs!$Q$33))</f>
        <v>0</v>
      </c>
      <c r="AH36" s="66">
        <f>IF(Inputs!$Q$17="simple",0,IF(AH$2&gt;Inputs!$G$17,0,-Inputs!$Q$33))</f>
        <v>0</v>
      </c>
      <c r="AI36" s="66">
        <f>IF(Inputs!$Q$17="simple",0,IF(AI$2&gt;Inputs!$G$17,0,-Inputs!$Q$33))</f>
        <v>0</v>
      </c>
      <c r="AJ36" s="66">
        <f>IF(Inputs!$Q$17="simple",0,IF(AJ$2&gt;Inputs!$G$17,0,-Inputs!$Q$33))</f>
        <v>0</v>
      </c>
    </row>
    <row r="37" spans="2:36" s="11" customFormat="1" ht="16">
      <c r="B37" s="22" t="s">
        <v>103</v>
      </c>
      <c r="C37" s="22"/>
      <c r="D37" s="22"/>
      <c r="E37" s="62" t="s">
        <v>0</v>
      </c>
      <c r="F37" s="22"/>
      <c r="G37" s="36">
        <f>-IF(Inputs!$Q$17="simple",0,IF(G$2&gt;Inputs!$G$17,0,Inputs!$Q$36*(G$15+G$17+G$19+G$21)))</f>
        <v>-625211.05500000028</v>
      </c>
      <c r="H37" s="36">
        <f>-IF(Inputs!$Q$17="simple",0,IF(H$2&gt;Inputs!$G$17,0,Inputs!$Q$36*(H$15+H$17+H$19+H$21)))</f>
        <v>-622084.99972500023</v>
      </c>
      <c r="I37" s="36">
        <f>-IF(Inputs!$Q$17="simple",0,IF(I$2&gt;Inputs!$G$17,0,Inputs!$Q$36*(I$15+I$17+I$19+I$21)))</f>
        <v>-618974.57472637517</v>
      </c>
      <c r="J37" s="36">
        <f>-IF(Inputs!$Q$17="simple",0,IF(J$2&gt;Inputs!$G$17,0,Inputs!$Q$36*(J$15+J$17+J$19+J$21)))</f>
        <v>-615879.70185274328</v>
      </c>
      <c r="K37" s="36">
        <f>-IF(Inputs!$Q$17="simple",0,IF(K$2&gt;Inputs!$G$17,0,Inputs!$Q$36*(K$15+K$17+K$19+K$21)))</f>
        <v>-612800.30334347964</v>
      </c>
      <c r="L37" s="36">
        <f>-IF(Inputs!$Q$17="simple",0,IF(L$2&gt;Inputs!$G$17,0,Inputs!$Q$36*(L$15+L$17+L$19+L$21)))</f>
        <v>-609736.30182676215</v>
      </c>
      <c r="M37" s="36">
        <f>-IF(Inputs!$Q$17="simple",0,IF(M$2&gt;Inputs!$G$17,0,Inputs!$Q$36*(M$15+M$17+M$19+M$21)))</f>
        <v>-606687.62031762849</v>
      </c>
      <c r="N37" s="36">
        <f>-IF(Inputs!$Q$17="simple",0,IF(N$2&gt;Inputs!$G$17,0,Inputs!$Q$36*(N$15+N$17+N$19+N$21)))</f>
        <v>-603654.18221604021</v>
      </c>
      <c r="O37" s="36">
        <f>-IF(Inputs!$Q$17="simple",0,IF(O$2&gt;Inputs!$G$17,0,Inputs!$Q$36*(O$15+O$17+O$19+O$21)))</f>
        <v>-600635.91130496003</v>
      </c>
      <c r="P37" s="36">
        <f>-IF(Inputs!$Q$17="simple",0,IF(P$2&gt;Inputs!$G$17,0,Inputs!$Q$36*(P$15+P$17+P$19+P$21)))</f>
        <v>-597632.7317484353</v>
      </c>
      <c r="Q37" s="36">
        <f>-IF(Inputs!$Q$17="simple",0,IF(Q$2&gt;Inputs!$G$17,0,Inputs!$Q$36*(Q$15+Q$17+Q$19+Q$21)))</f>
        <v>-594644.56808969309</v>
      </c>
      <c r="R37" s="36">
        <f>-IF(Inputs!$Q$17="simple",0,IF(R$2&gt;Inputs!$G$17,0,Inputs!$Q$36*(R$15+R$17+R$19+R$21)))</f>
        <v>-586798.89067424333</v>
      </c>
      <c r="S37" s="36">
        <f>-IF(Inputs!$Q$17="simple",0,IF(S$2&gt;Inputs!$G$17,0,Inputs!$Q$36*(S$15+S$17+S$19+S$21)))</f>
        <v>-569194.92395401595</v>
      </c>
      <c r="T37" s="36">
        <f>-IF(Inputs!$Q$17="simple",0,IF(T$2&gt;Inputs!$G$17,0,Inputs!$Q$36*(T$15+T$17+T$19+T$21)))</f>
        <v>-552119.07623539539</v>
      </c>
      <c r="U37" s="36">
        <f>-IF(Inputs!$Q$17="simple",0,IF(U$2&gt;Inputs!$G$17,0,Inputs!$Q$36*(U$15+U$17+U$19+U$21)))</f>
        <v>-535555.50394833356</v>
      </c>
      <c r="V37" s="36">
        <f>-IF(Inputs!$Q$17="simple",0,IF(V$2&gt;Inputs!$G$17,0,Inputs!$Q$36*(V$15+V$17+V$19+V$21)))</f>
        <v>-519488.83882988343</v>
      </c>
      <c r="W37" s="36">
        <f>-IF(Inputs!$Q$17="simple",0,IF(W$2&gt;Inputs!$G$17,0,Inputs!$Q$36*(W$15+W$17+W$19+W$21)))</f>
        <v>-503904.17366498697</v>
      </c>
      <c r="X37" s="36">
        <f>-IF(Inputs!$Q$17="simple",0,IF(X$2&gt;Inputs!$G$17,0,Inputs!$Q$36*(X$15+X$17+X$19+X$21)))</f>
        <v>-488787.04845503741</v>
      </c>
      <c r="Y37" s="36">
        <f>-IF(Inputs!$Q$17="simple",0,IF(Y$2&gt;Inputs!$G$17,0,Inputs!$Q$36*(Y$15+Y$17+Y$19+Y$21)))</f>
        <v>-474123.43700138625</v>
      </c>
      <c r="Z37" s="36">
        <f>-IF(Inputs!$Q$17="simple",0,IF(Z$2&gt;Inputs!$G$17,0,Inputs!$Q$36*(Z$15+Z$17+Z$19+Z$21)))</f>
        <v>-521477.92336502887</v>
      </c>
      <c r="AA37" s="36">
        <f>-IF(Inputs!$Q$17="simple",0,IF(AA$2&gt;Inputs!$G$17,0,Inputs!$Q$36*(AA$15+AA$17+AA$19+AA$21)))</f>
        <v>-162079.15890370469</v>
      </c>
      <c r="AB37" s="36">
        <f>-IF(Inputs!$Q$17="simple",0,IF(AB$2&gt;Inputs!$G$17,0,Inputs!$Q$36*(AB$15+AB$17+AB$19+AB$21)))</f>
        <v>-160361.11981932542</v>
      </c>
      <c r="AC37" s="36">
        <f>-IF(Inputs!$Q$17="simple",0,IF(AC$2&gt;Inputs!$G$17,0,Inputs!$Q$36*(AC$15+AC$17+AC$19+AC$21)))</f>
        <v>-158661.29194924055</v>
      </c>
      <c r="AD37" s="36">
        <f>-IF(Inputs!$Q$17="simple",0,IF(AD$2&gt;Inputs!$G$17,0,Inputs!$Q$36*(AD$15+AD$17+AD$19+AD$21)))</f>
        <v>-156979.48225457862</v>
      </c>
      <c r="AE37" s="36">
        <f>-IF(Inputs!$Q$17="simple",0,IF(AE$2&gt;Inputs!$G$17,0,Inputs!$Q$36*(AE$15+AE$17+AE$19+AE$21)))</f>
        <v>-155315.49974268008</v>
      </c>
      <c r="AF37" s="36">
        <f>-IF(Inputs!$Q$17="simple",0,IF(AF$2&gt;Inputs!$G$17,0,Inputs!$Q$36*(AF$15+AF$17+AF$19+AF$21)))</f>
        <v>0</v>
      </c>
      <c r="AG37" s="36">
        <f>-IF(Inputs!$Q$17="simple",0,IF(AG$2&gt;Inputs!$G$17,0,Inputs!$Q$36*(AG$15+AG$17+AG$19+AG$21)))</f>
        <v>0</v>
      </c>
      <c r="AH37" s="36">
        <f>-IF(Inputs!$Q$17="simple",0,IF(AH$2&gt;Inputs!$G$17,0,Inputs!$Q$36*(AH$15+AH$17+AH$19+AH$21)))</f>
        <v>0</v>
      </c>
      <c r="AI37" s="36">
        <f>-IF(Inputs!$Q$17="simple",0,IF(AI$2&gt;Inputs!$G$17,0,Inputs!$Q$36*(AI$15+AI$17+AI$19+AI$21)))</f>
        <v>0</v>
      </c>
      <c r="AJ37" s="36">
        <f>-IF(Inputs!$Q$17="simple",0,IF(AJ$2&gt;Inputs!$G$17,0,Inputs!$Q$36*(AJ$15+AJ$17+AJ$19+AJ$21)))</f>
        <v>0</v>
      </c>
    </row>
    <row r="38" spans="2:36" s="11" customFormat="1" ht="16">
      <c r="B38" s="26" t="s">
        <v>106</v>
      </c>
      <c r="C38" s="26"/>
      <c r="D38" s="26"/>
      <c r="E38" s="63" t="s">
        <v>0</v>
      </c>
      <c r="F38" s="16"/>
      <c r="G38" s="27">
        <f t="shared" ref="G38:AJ38" si="5">SUM(G29:G37)</f>
        <v>-4701870.0288125006</v>
      </c>
      <c r="H38" s="27">
        <f t="shared" si="5"/>
        <v>-4761588.06201375</v>
      </c>
      <c r="I38" s="27">
        <f t="shared" si="5"/>
        <v>-4822322.489804999</v>
      </c>
      <c r="J38" s="27">
        <f t="shared" si="5"/>
        <v>-4884089.4331710478</v>
      </c>
      <c r="K38" s="27">
        <f t="shared" si="5"/>
        <v>-4946905.2806095351</v>
      </c>
      <c r="L38" s="27">
        <f t="shared" si="5"/>
        <v>-5010786.6926242122</v>
      </c>
      <c r="M38" s="27">
        <f t="shared" si="5"/>
        <v>-5075750.6062954944</v>
      </c>
      <c r="N38" s="27">
        <f t="shared" si="5"/>
        <v>-5141814.2399296593</v>
      </c>
      <c r="O38" s="27">
        <f t="shared" si="5"/>
        <v>-5208995.0977880899</v>
      </c>
      <c r="P38" s="27">
        <f t="shared" si="5"/>
        <v>-5277310.9748979332</v>
      </c>
      <c r="Q38" s="27">
        <f t="shared" si="5"/>
        <v>-5346779.9619456418</v>
      </c>
      <c r="R38" s="27">
        <f t="shared" si="5"/>
        <v>-5379888.7782276757</v>
      </c>
      <c r="S38" s="27">
        <f t="shared" si="5"/>
        <v>-5336290.3486402929</v>
      </c>
      <c r="T38" s="27">
        <f t="shared" si="5"/>
        <v>-5293975.9251597282</v>
      </c>
      <c r="U38" s="27">
        <f t="shared" si="5"/>
        <v>-5252931.2587285936</v>
      </c>
      <c r="V38" s="27">
        <f t="shared" si="5"/>
        <v>-5213142.7508330876</v>
      </c>
      <c r="W38" s="27">
        <f t="shared" si="5"/>
        <v>-5174597.4412290454</v>
      </c>
      <c r="X38" s="27">
        <f t="shared" si="5"/>
        <v>-5137282.9961515656</v>
      </c>
      <c r="Y38" s="27">
        <f t="shared" si="5"/>
        <v>-5101187.6969963536</v>
      </c>
      <c r="Z38" s="27">
        <f t="shared" si="5"/>
        <v>-5611478.5887963912</v>
      </c>
      <c r="AA38" s="27">
        <f t="shared" si="5"/>
        <v>-5227060.9003470149</v>
      </c>
      <c r="AB38" s="27">
        <f t="shared" si="5"/>
        <v>-5201151.9395301687</v>
      </c>
      <c r="AC38" s="27">
        <f t="shared" si="5"/>
        <v>-5176091.6713925172</v>
      </c>
      <c r="AD38" s="27">
        <f t="shared" si="5"/>
        <v>-5151882.5809455505</v>
      </c>
      <c r="AE38" s="27">
        <f t="shared" si="5"/>
        <v>-5128527.3564827191</v>
      </c>
      <c r="AF38" s="27">
        <f t="shared" si="5"/>
        <v>0</v>
      </c>
      <c r="AG38" s="27">
        <f t="shared" si="5"/>
        <v>0</v>
      </c>
      <c r="AH38" s="27">
        <f t="shared" si="5"/>
        <v>0</v>
      </c>
      <c r="AI38" s="27">
        <f t="shared" si="5"/>
        <v>0</v>
      </c>
      <c r="AJ38" s="27">
        <f t="shared" si="5"/>
        <v>0</v>
      </c>
    </row>
    <row r="39" spans="2:36" s="11" customFormat="1" ht="16">
      <c r="B39" s="26"/>
      <c r="C39" s="26"/>
      <c r="D39" s="26"/>
      <c r="E39" s="63"/>
      <c r="F39" s="16"/>
      <c r="G39" s="27">
        <f>IF(G38=0,"",G38)</f>
        <v>-4701870.0288125006</v>
      </c>
      <c r="H39" s="27">
        <f t="shared" ref="H39:AJ39" si="6">IF(H38=0,"",H38)</f>
        <v>-4761588.06201375</v>
      </c>
      <c r="I39" s="27">
        <f t="shared" si="6"/>
        <v>-4822322.489804999</v>
      </c>
      <c r="J39" s="27">
        <f t="shared" si="6"/>
        <v>-4884089.4331710478</v>
      </c>
      <c r="K39" s="27">
        <f t="shared" si="6"/>
        <v>-4946905.2806095351</v>
      </c>
      <c r="L39" s="27">
        <f t="shared" si="6"/>
        <v>-5010786.6926242122</v>
      </c>
      <c r="M39" s="27">
        <f t="shared" si="6"/>
        <v>-5075750.6062954944</v>
      </c>
      <c r="N39" s="27">
        <f t="shared" si="6"/>
        <v>-5141814.2399296593</v>
      </c>
      <c r="O39" s="27">
        <f t="shared" si="6"/>
        <v>-5208995.0977880899</v>
      </c>
      <c r="P39" s="27">
        <f t="shared" si="6"/>
        <v>-5277310.9748979332</v>
      </c>
      <c r="Q39" s="27">
        <f t="shared" si="6"/>
        <v>-5346779.9619456418</v>
      </c>
      <c r="R39" s="27">
        <f t="shared" si="6"/>
        <v>-5379888.7782276757</v>
      </c>
      <c r="S39" s="27">
        <f t="shared" si="6"/>
        <v>-5336290.3486402929</v>
      </c>
      <c r="T39" s="27">
        <f t="shared" si="6"/>
        <v>-5293975.9251597282</v>
      </c>
      <c r="U39" s="27">
        <f t="shared" si="6"/>
        <v>-5252931.2587285936</v>
      </c>
      <c r="V39" s="27">
        <f t="shared" si="6"/>
        <v>-5213142.7508330876</v>
      </c>
      <c r="W39" s="27">
        <f t="shared" si="6"/>
        <v>-5174597.4412290454</v>
      </c>
      <c r="X39" s="27">
        <f t="shared" si="6"/>
        <v>-5137282.9961515656</v>
      </c>
      <c r="Y39" s="27">
        <f t="shared" si="6"/>
        <v>-5101187.6969963536</v>
      </c>
      <c r="Z39" s="27">
        <f t="shared" si="6"/>
        <v>-5611478.5887963912</v>
      </c>
      <c r="AA39" s="27">
        <f t="shared" si="6"/>
        <v>-5227060.9003470149</v>
      </c>
      <c r="AB39" s="27">
        <f t="shared" si="6"/>
        <v>-5201151.9395301687</v>
      </c>
      <c r="AC39" s="27">
        <f t="shared" si="6"/>
        <v>-5176091.6713925172</v>
      </c>
      <c r="AD39" s="27">
        <f t="shared" si="6"/>
        <v>-5151882.5809455505</v>
      </c>
      <c r="AE39" s="27">
        <f t="shared" si="6"/>
        <v>-5128527.3564827191</v>
      </c>
      <c r="AF39" s="27" t="str">
        <f t="shared" si="6"/>
        <v/>
      </c>
      <c r="AG39" s="27" t="str">
        <f t="shared" si="6"/>
        <v/>
      </c>
      <c r="AH39" s="27" t="str">
        <f t="shared" si="6"/>
        <v/>
      </c>
      <c r="AI39" s="27" t="str">
        <f t="shared" si="6"/>
        <v/>
      </c>
      <c r="AJ39" s="27" t="str">
        <f t="shared" si="6"/>
        <v/>
      </c>
    </row>
    <row r="40" spans="2:36" s="11" customFormat="1" ht="16">
      <c r="B40" s="28" t="s">
        <v>444</v>
      </c>
      <c r="C40" s="28"/>
      <c r="D40" s="28"/>
      <c r="E40" s="61" t="s">
        <v>48</v>
      </c>
      <c r="F40" s="29"/>
      <c r="G40" s="749">
        <f>IF(G$2&gt;Inputs!$G$17,0,G38*100/G5)</f>
        <v>-4.1851318048657289</v>
      </c>
      <c r="H40" s="749">
        <f>IF(H$2&gt;Inputs!$G$17,0,H38*100/H5)</f>
        <v>-4.2595847154039044</v>
      </c>
      <c r="I40" s="749">
        <f>IF(I$2&gt;Inputs!$G$17,0,I38*100/I5)</f>
        <v>-4.3355940213906354</v>
      </c>
      <c r="J40" s="749">
        <f>IF(J$2&gt;Inputs!$G$17,0,J38*100/J5)</f>
        <v>-4.4131926436009756</v>
      </c>
      <c r="K40" s="749">
        <f>IF(K$2&gt;Inputs!$G$17,0,K38*100/K5)</f>
        <v>-4.492414206779781</v>
      </c>
      <c r="L40" s="749">
        <f>IF(L$2&gt;Inputs!$G$17,0,L38*100/L5)</f>
        <v>-4.5732930548682376</v>
      </c>
      <c r="M40" s="749">
        <f>IF(M$2&gt;Inputs!$G$17,0,M38*100/M5)</f>
        <v>-4.6558642665637526</v>
      </c>
      <c r="N40" s="749">
        <f>IF(N$2&gt;Inputs!$G$17,0,N38*100/N5)</f>
        <v>-4.7401636712206034</v>
      </c>
      <c r="O40" s="749">
        <f>IF(O$2&gt;Inputs!$G$17,0,O38*100/O5)</f>
        <v>-4.8262278650989066</v>
      </c>
      <c r="P40" s="749">
        <f>IF(P$2&gt;Inputs!$G$17,0,P38*100/P5)</f>
        <v>-4.9140942279696187</v>
      </c>
      <c r="Q40" s="749">
        <f>IF(Q$2&gt;Inputs!$G$17,0,Q38*100/Q5)</f>
        <v>-5.0038009400834955</v>
      </c>
      <c r="R40" s="749">
        <f>IF(R$2&gt;Inputs!$G$17,0,R38*100/R5)</f>
        <v>-5.102102530636424</v>
      </c>
      <c r="S40" s="749">
        <f>IF(S$2&gt;Inputs!$G$17,0,S38*100/S5)</f>
        <v>-5.2172734752958467</v>
      </c>
      <c r="T40" s="749">
        <f>IF(T$2&gt;Inputs!$G$17,0,T38*100/T5)</f>
        <v>-5.335982271142039</v>
      </c>
      <c r="U40" s="749">
        <f>IF(U$2&gt;Inputs!$G$17,0,U38*100/U5)</f>
        <v>-5.4583628100748225</v>
      </c>
      <c r="V40" s="749">
        <f>IF(V$2&gt;Inputs!$G$17,0,V38*100/V5)</f>
        <v>-5.5845549008775519</v>
      </c>
      <c r="W40" s="749">
        <f>IF(W$2&gt;Inputs!$G$17,0,W38*100/W5)</f>
        <v>-5.7147045540417869</v>
      </c>
      <c r="X40" s="749">
        <f>IF(X$2&gt;Inputs!$G$17,0,X38*100/X5)</f>
        <v>-5.8489642808555962</v>
      </c>
      <c r="Y40" s="749">
        <f>IF(Y$2&gt;Inputs!$G$17,0,Y38*100/Y5)</f>
        <v>-5.9874934074819253</v>
      </c>
      <c r="Z40" s="749">
        <f>IF(Z$2&gt;Inputs!$G$17,0,Z38*100/Z5)</f>
        <v>-5.9883413942324752</v>
      </c>
      <c r="AA40" s="749">
        <f>IF(AA$2&gt;Inputs!$G$17,0,AA38*100/AA5)</f>
        <v>-5.7506252520268131</v>
      </c>
      <c r="AB40" s="749">
        <f>IF(AB$2&gt;Inputs!$G$17,0,AB38*100/AB5)</f>
        <v>-5.8990939597780905</v>
      </c>
      <c r="AC40" s="749">
        <f>IF(AC$2&gt;Inputs!$G$17,0,AC38*100/AC5)</f>
        <v>-6.0522379968557791</v>
      </c>
      <c r="AD40" s="749">
        <f>IF(AD$2&gt;Inputs!$G$17,0,AD38*100/AD5)</f>
        <v>-6.2102382306894635</v>
      </c>
      <c r="AE40" s="749">
        <f>IF(AE$2&gt;Inputs!$G$17,0,AE38*100/AE5)</f>
        <v>-6.373283631410354</v>
      </c>
      <c r="AF40" s="749">
        <f>IF(AF$2&gt;Inputs!$G$17,0,AF38*100/AF5)</f>
        <v>0</v>
      </c>
      <c r="AG40" s="749">
        <f>IF(AG$2&gt;Inputs!$G$17,0,AG38*100/AG5)</f>
        <v>0</v>
      </c>
      <c r="AH40" s="749">
        <f>IF(AH$2&gt;Inputs!$G$17,0,AH38*100/AH5)</f>
        <v>0</v>
      </c>
      <c r="AI40" s="749">
        <f>IF(AI$2&gt;Inputs!$G$17,0,AI38*100/AI5)</f>
        <v>0</v>
      </c>
      <c r="AJ40" s="749">
        <f>IF(AJ$2&gt;Inputs!$G$17,0,AJ38*100/AJ5)</f>
        <v>0</v>
      </c>
    </row>
    <row r="41" spans="2:36" s="11" customFormat="1" ht="16">
      <c r="E41" s="61"/>
    </row>
    <row r="42" spans="2:36" s="11" customFormat="1" ht="16">
      <c r="B42" s="16" t="s">
        <v>107</v>
      </c>
      <c r="C42" s="16"/>
      <c r="D42" s="16"/>
      <c r="E42" s="59" t="s">
        <v>0</v>
      </c>
      <c r="F42" s="13"/>
      <c r="G42" s="27">
        <f t="shared" ref="G42:AJ42" si="7">G23+G38</f>
        <v>16236320.218511965</v>
      </c>
      <c r="H42" s="27">
        <f t="shared" si="7"/>
        <v>16072400.342810716</v>
      </c>
      <c r="I42" s="27">
        <f t="shared" si="7"/>
        <v>15907985.081731964</v>
      </c>
      <c r="J42" s="27">
        <f t="shared" si="7"/>
        <v>15743055.709244851</v>
      </c>
      <c r="K42" s="27">
        <f t="shared" si="7"/>
        <v>15577593.244830908</v>
      </c>
      <c r="L42" s="27">
        <f t="shared" si="7"/>
        <v>15411578.448925652</v>
      </c>
      <c r="M42" s="27">
        <f t="shared" si="7"/>
        <v>15244991.818283243</v>
      </c>
      <c r="N42" s="27">
        <f t="shared" si="7"/>
        <v>15077813.581262803</v>
      </c>
      <c r="O42" s="27">
        <f t="shared" si="7"/>
        <v>14910023.693035034</v>
      </c>
      <c r="P42" s="27">
        <f t="shared" si="7"/>
        <v>14741601.830707699</v>
      </c>
      <c r="Q42" s="27">
        <f t="shared" si="7"/>
        <v>14572527.388368584</v>
      </c>
      <c r="R42" s="27">
        <f t="shared" si="7"/>
        <v>14277895.991571557</v>
      </c>
      <c r="S42" s="27">
        <f t="shared" si="7"/>
        <v>13734695.530484695</v>
      </c>
      <c r="T42" s="27">
        <f t="shared" si="7"/>
        <v>13207815.030011242</v>
      </c>
      <c r="U42" s="27">
        <f t="shared" si="7"/>
        <v>12696740.620206982</v>
      </c>
      <c r="V42" s="27">
        <f t="shared" si="7"/>
        <v>12172632.942988139</v>
      </c>
      <c r="W42" s="27">
        <f t="shared" si="7"/>
        <v>11663348.732596286</v>
      </c>
      <c r="X42" s="27">
        <f t="shared" si="7"/>
        <v>11196759.004008781</v>
      </c>
      <c r="Y42" s="27">
        <f t="shared" si="7"/>
        <v>10744067.254708955</v>
      </c>
      <c r="Z42" s="27">
        <f t="shared" si="7"/>
        <v>11812259.241697002</v>
      </c>
      <c r="AA42" s="27">
        <f t="shared" si="7"/>
        <v>216718.11476890836</v>
      </c>
      <c r="AB42" s="27">
        <f t="shared" si="7"/>
        <v>185359.10610644519</v>
      </c>
      <c r="AC42" s="27">
        <f t="shared" si="7"/>
        <v>153758.44524126779</v>
      </c>
      <c r="AD42" s="27">
        <f t="shared" si="7"/>
        <v>121907.21253283601</v>
      </c>
      <c r="AE42" s="27">
        <f t="shared" si="7"/>
        <v>69226.16076950077</v>
      </c>
      <c r="AF42" s="27">
        <f t="shared" si="7"/>
        <v>0</v>
      </c>
      <c r="AG42" s="27">
        <f t="shared" si="7"/>
        <v>0</v>
      </c>
      <c r="AH42" s="27">
        <f t="shared" si="7"/>
        <v>0</v>
      </c>
      <c r="AI42" s="27">
        <f t="shared" si="7"/>
        <v>0</v>
      </c>
      <c r="AJ42" s="27">
        <f t="shared" si="7"/>
        <v>0</v>
      </c>
    </row>
    <row r="43" spans="2:36" s="11" customFormat="1" ht="16">
      <c r="B43" s="16"/>
      <c r="C43" s="16"/>
      <c r="D43" s="16"/>
      <c r="E43" s="59" t="s">
        <v>227</v>
      </c>
      <c r="F43" s="64" t="s">
        <v>166</v>
      </c>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row>
    <row r="44" spans="2:36" s="13" customFormat="1" ht="16">
      <c r="B44" s="30" t="s">
        <v>131</v>
      </c>
      <c r="C44" s="30"/>
      <c r="D44" s="30"/>
      <c r="E44" s="31">
        <f>IF(OR(Inputs!$G$79=0,Inputs!$G$79=""),"N/A",AVERAGE(G44:AJ44))</f>
        <v>2.1021657851369042</v>
      </c>
      <c r="F44" s="31">
        <f>IF(OR(Inputs!$G$79=0,Inputs!$G$79=""),"N/A",MIN(G44:AJ44))</f>
        <v>1.7920162957034249</v>
      </c>
      <c r="G44" s="31">
        <f>IF(OR(Inputs!$G$79=0,Inputs!$G$79=""),"N/A",IF(G$2&gt;Inputs!$G$80,"N/A",(G42+SUM(G50:G51))/-G88))</f>
        <v>2.2915920931334361</v>
      </c>
      <c r="H44" s="31">
        <f>IF(OR(Inputs!$G$79=0,Inputs!$G$79=""),"N/A",IF(H$2&gt;Inputs!$G$80,"N/A",(H42+SUM(H50:H51))/-H88))</f>
        <v>2.2684564635074502</v>
      </c>
      <c r="I44" s="31">
        <f>IF(OR(Inputs!$G$79=0,Inputs!$G$79=""),"N/A",IF(I$2&gt;Inputs!$G$80,"N/A",(I42+SUM(I50:I51))/-I88))</f>
        <v>2.2452509152546538</v>
      </c>
      <c r="J44" s="31">
        <f>IF(OR(Inputs!$G$79=0,Inputs!$G$79=""),"N/A",IF(J$2&gt;Inputs!$G$80,"N/A",(J42+SUM(J50:J51))/-J88))</f>
        <v>2.2219728053855214</v>
      </c>
      <c r="K44" s="31">
        <f>IF(OR(Inputs!$G$79=0,Inputs!$G$79=""),"N/A",IF(K$2&gt;Inputs!$G$80,"N/A",(K42+SUM(K50:K51))/-K88))</f>
        <v>2.1986194549921825</v>
      </c>
      <c r="L44" s="31">
        <f>IF(OR(Inputs!$G$79=0,Inputs!$G$79=""),"N/A",IF(L$2&gt;Inputs!$G$80,"N/A",(L42+SUM(L50:L51))/-L88))</f>
        <v>2.1751881486050442</v>
      </c>
      <c r="M44" s="31">
        <f>IF(OR(Inputs!$G$79=0,Inputs!$G$79=""),"N/A",IF(M$2&gt;Inputs!$G$80,"N/A",(M42+SUM(M50:M51))/-M88))</f>
        <v>2.1516761335385617</v>
      </c>
      <c r="N44" s="31">
        <f>IF(OR(Inputs!$G$79=0,Inputs!$G$79=""),"N/A",IF(N$2&gt;Inputs!$G$80,"N/A",(N42+SUM(N50:N51))/-N88))</f>
        <v>2.1280806192259507</v>
      </c>
      <c r="O44" s="31">
        <f>IF(OR(Inputs!$G$79=0,Inputs!$G$79=""),"N/A",IF(O$2&gt;Inputs!$G$80,"N/A",(O42+SUM(O50:O51))/-O88))</f>
        <v>2.10439877654265</v>
      </c>
      <c r="P44" s="31">
        <f>IF(OR(Inputs!$G$79=0,Inputs!$G$79=""),"N/A",IF(P$2&gt;Inputs!$G$80,"N/A",(P42+SUM(P50:P51))/-P88))</f>
        <v>2.0806277371183302</v>
      </c>
      <c r="Q44" s="31">
        <f>IF(OR(Inputs!$G$79=0,Inputs!$G$79=""),"N/A",IF(Q$2&gt;Inputs!$G$80,"N/A",(Q42+SUM(Q50:Q51))/-Q88))</f>
        <v>2.0567645926372609</v>
      </c>
      <c r="R44" s="31">
        <f>IF(OR(Inputs!$G$79=0,Inputs!$G$79=""),"N/A",IF(R$2&gt;Inputs!$G$80,"N/A",(R42+SUM(R50:R51))/-R88))</f>
        <v>2.0151803561722077</v>
      </c>
      <c r="S44" s="31">
        <f>IF(OR(Inputs!$G$79=0,Inputs!$G$79=""),"N/A",IF(S$2&gt;Inputs!$G$80,"N/A",(S42+SUM(S50:S51))/-S88))</f>
        <v>1.9385131147738868</v>
      </c>
      <c r="T44" s="31">
        <f>IF(OR(Inputs!$G$79=0,Inputs!$G$79=""),"N/A",IF(T$2&gt;Inputs!$G$80,"N/A",(T42+SUM(T50:T51))/-T88))</f>
        <v>1.8641492704629985</v>
      </c>
      <c r="U44" s="31">
        <f>IF(OR(Inputs!$G$79=0,Inputs!$G$79=""),"N/A",IF(U$2&gt;Inputs!$G$80,"N/A",(U42+SUM(U50:U51))/-U88))</f>
        <v>1.7920162957034249</v>
      </c>
      <c r="V44" s="31" t="str">
        <f>IF(OR(Inputs!$G$79=0,Inputs!$G$79=""),"N/A",IF(V$2&gt;Inputs!$G$80,"N/A",(V42+SUM(V50:V51))/-V88))</f>
        <v>N/A</v>
      </c>
      <c r="W44" s="31" t="str">
        <f>IF(OR(Inputs!$G$79=0,Inputs!$G$79=""),"N/A",IF(W$2&gt;Inputs!$G$80,"N/A",(W42+SUM(W50:W51))/-W88))</f>
        <v>N/A</v>
      </c>
      <c r="X44" s="31" t="str">
        <f>IF(OR(Inputs!$G$79=0,Inputs!$G$79=""),"N/A",IF(X$2&gt;Inputs!$G$80,"N/A",(X42+SUM(X50:X51))/-X88))</f>
        <v>N/A</v>
      </c>
      <c r="Y44" s="31" t="str">
        <f>IF(OR(Inputs!$G$79=0,Inputs!$G$79=""),"N/A",IF(Y$2&gt;Inputs!$G$80,"N/A",(Y42+SUM(Y50:Y51))/-Y88))</f>
        <v>N/A</v>
      </c>
      <c r="Z44" s="31" t="str">
        <f>IF(OR(Inputs!$G$79=0,Inputs!$G$79=""),"N/A",IF(Z$2&gt;Inputs!$G$80,"N/A",(Z42+SUM(Z50:Z51))/-Z88))</f>
        <v>N/A</v>
      </c>
      <c r="AA44" s="31" t="str">
        <f>IF(OR(Inputs!$G$79=0,Inputs!$G$79=""),"N/A",IF(AA$2&gt;Inputs!$G$80,"N/A",(AA42+SUM(AA50:AA51))/-AA88))</f>
        <v>N/A</v>
      </c>
      <c r="AB44" s="31" t="str">
        <f>IF(OR(Inputs!$G$79=0,Inputs!$G$79=""),"N/A",IF(AB$2&gt;Inputs!$G$80,"N/A",(AB42+SUM(AB50:AB51))/-AB88))</f>
        <v>N/A</v>
      </c>
      <c r="AC44" s="31" t="str">
        <f>IF(OR(Inputs!$G$79=0,Inputs!$G$79=""),"N/A",IF(AC$2&gt;Inputs!$G$80,"N/A",(AC42+SUM(AC50:AC51))/-AC88))</f>
        <v>N/A</v>
      </c>
      <c r="AD44" s="31" t="str">
        <f>IF(OR(Inputs!$G$79=0,Inputs!$G$79=""),"N/A",IF(AD$2&gt;Inputs!$G$80,"N/A",(AD42+SUM(AD50:AD51))/-AD88))</f>
        <v>N/A</v>
      </c>
      <c r="AE44" s="31" t="str">
        <f>IF(OR(Inputs!$G$79=0,Inputs!$G$79=""),"N/A",IF(AE$2&gt;Inputs!$G$80,"N/A",(AE42+SUM(AE50:AE51))/-AE88))</f>
        <v>N/A</v>
      </c>
      <c r="AF44" s="31" t="str">
        <f>IF(OR(Inputs!$G$79=0,Inputs!$G$79=""),"N/A",IF(AF$2&gt;Inputs!$G$80,"N/A",(AF42+SUM(AF50:AF51))/-AF88))</f>
        <v>N/A</v>
      </c>
      <c r="AG44" s="31" t="str">
        <f>IF(OR(Inputs!$G$79=0,Inputs!$G$79=""),"N/A",IF(AG$2&gt;Inputs!$G$80,"N/A",(AG42+SUM(AG50:AG51))/-AG88))</f>
        <v>N/A</v>
      </c>
      <c r="AH44" s="31" t="str">
        <f>IF(OR(Inputs!$G$79=0,Inputs!$G$79=""),"N/A",IF(AH$2&gt;Inputs!$G$80,"N/A",(AH42+SUM(AH50:AH51))/-AH88))</f>
        <v>N/A</v>
      </c>
      <c r="AI44" s="31" t="str">
        <f>IF(OR(Inputs!$G$79=0,Inputs!$G$79=""),"N/A",IF(AI$2&gt;Inputs!$G$80,"N/A",(AI42+SUM(AI50:AI51))/-AI88))</f>
        <v>N/A</v>
      </c>
      <c r="AJ44" s="31" t="str">
        <f>IF(OR(Inputs!$G$79=0,Inputs!$G$79=""),"N/A",IF(AJ$2&gt;Inputs!$G$80,"N/A",(AJ42+SUM(AJ50:AJ51))/-AJ88))</f>
        <v>N/A</v>
      </c>
    </row>
    <row r="45" spans="2:36" s="13" customFormat="1" ht="16">
      <c r="B45" s="30" t="s">
        <v>263</v>
      </c>
      <c r="C45" s="30"/>
      <c r="D45" s="30"/>
      <c r="E45" s="64"/>
      <c r="F45" s="31"/>
      <c r="G45" s="354" t="str">
        <f t="shared" ref="G45:AJ45" si="8">IF(G44=$F$44,G2,"")</f>
        <v/>
      </c>
      <c r="H45" s="354" t="str">
        <f t="shared" si="8"/>
        <v/>
      </c>
      <c r="I45" s="354" t="str">
        <f t="shared" si="8"/>
        <v/>
      </c>
      <c r="J45" s="354" t="str">
        <f t="shared" si="8"/>
        <v/>
      </c>
      <c r="K45" s="354" t="str">
        <f t="shared" si="8"/>
        <v/>
      </c>
      <c r="L45" s="354" t="str">
        <f t="shared" si="8"/>
        <v/>
      </c>
      <c r="M45" s="354" t="str">
        <f t="shared" si="8"/>
        <v/>
      </c>
      <c r="N45" s="354" t="str">
        <f t="shared" si="8"/>
        <v/>
      </c>
      <c r="O45" s="354" t="str">
        <f t="shared" si="8"/>
        <v/>
      </c>
      <c r="P45" s="354" t="str">
        <f t="shared" si="8"/>
        <v/>
      </c>
      <c r="Q45" s="354" t="str">
        <f t="shared" si="8"/>
        <v/>
      </c>
      <c r="R45" s="354" t="str">
        <f t="shared" si="8"/>
        <v/>
      </c>
      <c r="S45" s="354" t="str">
        <f t="shared" si="8"/>
        <v/>
      </c>
      <c r="T45" s="354" t="str">
        <f t="shared" si="8"/>
        <v/>
      </c>
      <c r="U45" s="354">
        <f t="shared" si="8"/>
        <v>15</v>
      </c>
      <c r="V45" s="354" t="str">
        <f t="shared" si="8"/>
        <v/>
      </c>
      <c r="W45" s="354" t="str">
        <f t="shared" si="8"/>
        <v/>
      </c>
      <c r="X45" s="354" t="str">
        <f t="shared" si="8"/>
        <v/>
      </c>
      <c r="Y45" s="354" t="str">
        <f t="shared" si="8"/>
        <v/>
      </c>
      <c r="Z45" s="354" t="str">
        <f t="shared" si="8"/>
        <v/>
      </c>
      <c r="AA45" s="354" t="str">
        <f t="shared" si="8"/>
        <v/>
      </c>
      <c r="AB45" s="354" t="str">
        <f t="shared" si="8"/>
        <v/>
      </c>
      <c r="AC45" s="354" t="str">
        <f t="shared" si="8"/>
        <v/>
      </c>
      <c r="AD45" s="354" t="str">
        <f t="shared" si="8"/>
        <v/>
      </c>
      <c r="AE45" s="354" t="str">
        <f t="shared" si="8"/>
        <v/>
      </c>
      <c r="AF45" s="354" t="str">
        <f t="shared" si="8"/>
        <v/>
      </c>
      <c r="AG45" s="354" t="str">
        <f t="shared" si="8"/>
        <v/>
      </c>
      <c r="AH45" s="354" t="str">
        <f t="shared" si="8"/>
        <v/>
      </c>
      <c r="AI45" s="354" t="str">
        <f t="shared" si="8"/>
        <v/>
      </c>
      <c r="AJ45" s="354" t="str">
        <f t="shared" si="8"/>
        <v/>
      </c>
    </row>
    <row r="46" spans="2:36" s="11" customFormat="1" ht="16">
      <c r="B46" s="21" t="s">
        <v>112</v>
      </c>
      <c r="C46" s="21"/>
      <c r="D46" s="21"/>
      <c r="E46" s="62"/>
      <c r="F46" s="21"/>
      <c r="G46" s="25">
        <f>G89</f>
        <v>-4517178.5208593756</v>
      </c>
      <c r="H46" s="25">
        <f t="shared" ref="H46:AJ46" si="9">H89</f>
        <v>-4337419.0969143296</v>
      </c>
      <c r="I46" s="25">
        <f t="shared" si="9"/>
        <v>-4145076.5132931289</v>
      </c>
      <c r="J46" s="25">
        <f t="shared" si="9"/>
        <v>-3939269.9488184457</v>
      </c>
      <c r="K46" s="25">
        <f t="shared" si="9"/>
        <v>-3719056.9248305336</v>
      </c>
      <c r="L46" s="25">
        <f t="shared" si="9"/>
        <v>-3483428.9891634677</v>
      </c>
      <c r="M46" s="25">
        <f t="shared" si="9"/>
        <v>-3231307.0979997083</v>
      </c>
      <c r="N46" s="25">
        <f t="shared" si="9"/>
        <v>-2961536.6744544846</v>
      </c>
      <c r="O46" s="25">
        <f t="shared" si="9"/>
        <v>-2672882.3212610953</v>
      </c>
      <c r="P46" s="25">
        <f t="shared" si="9"/>
        <v>-2364022.1633441695</v>
      </c>
      <c r="Q46" s="25">
        <f t="shared" si="9"/>
        <v>-2033541.7943730578</v>
      </c>
      <c r="R46" s="25">
        <f t="shared" si="9"/>
        <v>-1679927.7995739689</v>
      </c>
      <c r="S46" s="25">
        <f t="shared" si="9"/>
        <v>-1301560.8251389437</v>
      </c>
      <c r="T46" s="25">
        <f t="shared" si="9"/>
        <v>-896708.16249346698</v>
      </c>
      <c r="U46" s="25">
        <f t="shared" si="9"/>
        <v>-463515.81346280657</v>
      </c>
      <c r="V46" s="25">
        <f t="shared" si="9"/>
        <v>0</v>
      </c>
      <c r="W46" s="25">
        <f t="shared" si="9"/>
        <v>0</v>
      </c>
      <c r="X46" s="25">
        <f t="shared" si="9"/>
        <v>0</v>
      </c>
      <c r="Y46" s="25">
        <f t="shared" si="9"/>
        <v>0</v>
      </c>
      <c r="Z46" s="25">
        <f t="shared" si="9"/>
        <v>0</v>
      </c>
      <c r="AA46" s="25">
        <f t="shared" si="9"/>
        <v>0</v>
      </c>
      <c r="AB46" s="25">
        <f t="shared" si="9"/>
        <v>0</v>
      </c>
      <c r="AC46" s="25">
        <f t="shared" si="9"/>
        <v>0</v>
      </c>
      <c r="AD46" s="25">
        <f t="shared" si="9"/>
        <v>0</v>
      </c>
      <c r="AE46" s="25">
        <f t="shared" si="9"/>
        <v>0</v>
      </c>
      <c r="AF46" s="25">
        <f t="shared" si="9"/>
        <v>0</v>
      </c>
      <c r="AG46" s="25">
        <f t="shared" si="9"/>
        <v>0</v>
      </c>
      <c r="AH46" s="25">
        <f t="shared" si="9"/>
        <v>0</v>
      </c>
      <c r="AI46" s="25">
        <f t="shared" si="9"/>
        <v>0</v>
      </c>
      <c r="AJ46" s="25">
        <f t="shared" si="9"/>
        <v>0</v>
      </c>
    </row>
    <row r="47" spans="2:36" s="11" customFormat="1" ht="16">
      <c r="B47" s="32" t="s">
        <v>65</v>
      </c>
      <c r="C47" s="32"/>
      <c r="D47" s="32"/>
      <c r="E47" s="64"/>
      <c r="F47" s="32"/>
      <c r="G47" s="33">
        <f>G42+G46</f>
        <v>11719141.69765259</v>
      </c>
      <c r="H47" s="33">
        <f t="shared" ref="H47:AJ47" si="10">H42+H46</f>
        <v>11734981.245896388</v>
      </c>
      <c r="I47" s="33">
        <f t="shared" si="10"/>
        <v>11762908.568438835</v>
      </c>
      <c r="J47" s="33">
        <f t="shared" si="10"/>
        <v>11803785.760426406</v>
      </c>
      <c r="K47" s="33">
        <f t="shared" si="10"/>
        <v>11858536.320000375</v>
      </c>
      <c r="L47" s="33">
        <f t="shared" si="10"/>
        <v>11928149.459762184</v>
      </c>
      <c r="M47" s="33">
        <f t="shared" si="10"/>
        <v>12013684.720283534</v>
      </c>
      <c r="N47" s="33">
        <f t="shared" si="10"/>
        <v>12116276.906808319</v>
      </c>
      <c r="O47" s="33">
        <f t="shared" si="10"/>
        <v>12237141.37177394</v>
      </c>
      <c r="P47" s="33">
        <f t="shared" si="10"/>
        <v>12377579.66736353</v>
      </c>
      <c r="Q47" s="33">
        <f t="shared" si="10"/>
        <v>12538985.593995526</v>
      </c>
      <c r="R47" s="33">
        <f t="shared" si="10"/>
        <v>12597968.191997588</v>
      </c>
      <c r="S47" s="33">
        <f t="shared" si="10"/>
        <v>12433134.705345752</v>
      </c>
      <c r="T47" s="33">
        <f t="shared" si="10"/>
        <v>12311106.867517775</v>
      </c>
      <c r="U47" s="33">
        <f t="shared" si="10"/>
        <v>12233224.806744175</v>
      </c>
      <c r="V47" s="33">
        <f t="shared" si="10"/>
        <v>12172632.942988139</v>
      </c>
      <c r="W47" s="33">
        <f t="shared" si="10"/>
        <v>11663348.732596286</v>
      </c>
      <c r="X47" s="33">
        <f t="shared" si="10"/>
        <v>11196759.004008781</v>
      </c>
      <c r="Y47" s="33">
        <f t="shared" si="10"/>
        <v>10744067.254708955</v>
      </c>
      <c r="Z47" s="33">
        <f t="shared" si="10"/>
        <v>11812259.241697002</v>
      </c>
      <c r="AA47" s="33">
        <f t="shared" si="10"/>
        <v>216718.11476890836</v>
      </c>
      <c r="AB47" s="33">
        <f t="shared" si="10"/>
        <v>185359.10610644519</v>
      </c>
      <c r="AC47" s="33">
        <f t="shared" si="10"/>
        <v>153758.44524126779</v>
      </c>
      <c r="AD47" s="33">
        <f t="shared" si="10"/>
        <v>121907.21253283601</v>
      </c>
      <c r="AE47" s="33">
        <f t="shared" si="10"/>
        <v>69226.16076950077</v>
      </c>
      <c r="AF47" s="33">
        <f t="shared" si="10"/>
        <v>0</v>
      </c>
      <c r="AG47" s="33">
        <f t="shared" si="10"/>
        <v>0</v>
      </c>
      <c r="AH47" s="33">
        <f t="shared" si="10"/>
        <v>0</v>
      </c>
      <c r="AI47" s="33">
        <f t="shared" si="10"/>
        <v>0</v>
      </c>
      <c r="AJ47" s="33">
        <f t="shared" si="10"/>
        <v>0</v>
      </c>
    </row>
    <row r="48" spans="2:36" s="11" customFormat="1" ht="16">
      <c r="B48" s="13"/>
      <c r="C48" s="13"/>
      <c r="D48" s="13"/>
      <c r="E48" s="64"/>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s="11" customFormat="1" ht="16">
      <c r="B49" s="18" t="s">
        <v>111</v>
      </c>
      <c r="C49" s="18"/>
      <c r="D49" s="18"/>
      <c r="E49" s="59"/>
      <c r="F49" s="18"/>
      <c r="G49" s="24">
        <f>G90</f>
        <v>-2567991.7706435234</v>
      </c>
      <c r="H49" s="24">
        <f t="shared" ref="H49:AJ49" si="11">H90</f>
        <v>-2747751.1945885699</v>
      </c>
      <c r="I49" s="24">
        <f t="shared" si="11"/>
        <v>-2940093.7782097701</v>
      </c>
      <c r="J49" s="24">
        <f t="shared" si="11"/>
        <v>-3145900.3426844538</v>
      </c>
      <c r="K49" s="24">
        <f t="shared" si="11"/>
        <v>-3366113.3666723659</v>
      </c>
      <c r="L49" s="24">
        <f t="shared" si="11"/>
        <v>-3601741.3023394314</v>
      </c>
      <c r="M49" s="24">
        <f t="shared" si="11"/>
        <v>-3853863.1935031912</v>
      </c>
      <c r="N49" s="24">
        <f t="shared" si="11"/>
        <v>-4123633.6170484154</v>
      </c>
      <c r="O49" s="24">
        <f t="shared" si="11"/>
        <v>-4412287.9702418046</v>
      </c>
      <c r="P49" s="24">
        <f t="shared" si="11"/>
        <v>-4721148.1281587305</v>
      </c>
      <c r="Q49" s="24">
        <f t="shared" si="11"/>
        <v>-5051628.4971298417</v>
      </c>
      <c r="R49" s="24">
        <f t="shared" si="11"/>
        <v>-5405242.4919289304</v>
      </c>
      <c r="S49" s="24">
        <f t="shared" si="11"/>
        <v>-5783609.4663639562</v>
      </c>
      <c r="T49" s="24">
        <f t="shared" si="11"/>
        <v>-6188462.1290094331</v>
      </c>
      <c r="U49" s="24">
        <f t="shared" si="11"/>
        <v>-6621654.4780400926</v>
      </c>
      <c r="V49" s="24">
        <f t="shared" si="11"/>
        <v>0</v>
      </c>
      <c r="W49" s="24">
        <f t="shared" si="11"/>
        <v>0</v>
      </c>
      <c r="X49" s="24">
        <f t="shared" si="11"/>
        <v>0</v>
      </c>
      <c r="Y49" s="24">
        <f t="shared" si="11"/>
        <v>0</v>
      </c>
      <c r="Z49" s="24">
        <f t="shared" si="11"/>
        <v>0</v>
      </c>
      <c r="AA49" s="24">
        <f t="shared" si="11"/>
        <v>0</v>
      </c>
      <c r="AB49" s="24">
        <f t="shared" si="11"/>
        <v>0</v>
      </c>
      <c r="AC49" s="24">
        <f t="shared" si="11"/>
        <v>0</v>
      </c>
      <c r="AD49" s="24">
        <f t="shared" si="11"/>
        <v>0</v>
      </c>
      <c r="AE49" s="24">
        <f t="shared" si="11"/>
        <v>0</v>
      </c>
      <c r="AF49" s="24">
        <f t="shared" si="11"/>
        <v>0</v>
      </c>
      <c r="AG49" s="24">
        <f t="shared" si="11"/>
        <v>0</v>
      </c>
      <c r="AH49" s="24">
        <f t="shared" si="11"/>
        <v>0</v>
      </c>
      <c r="AI49" s="24">
        <f t="shared" si="11"/>
        <v>0</v>
      </c>
      <c r="AJ49" s="24">
        <f t="shared" si="11"/>
        <v>0</v>
      </c>
    </row>
    <row r="50" spans="1:36" s="20" customFormat="1" ht="16">
      <c r="B50" s="18" t="s">
        <v>159</v>
      </c>
      <c r="C50" s="18"/>
      <c r="D50" s="18"/>
      <c r="E50" s="59"/>
      <c r="F50" s="18"/>
      <c r="G50" s="24">
        <f>-G206</f>
        <v>0</v>
      </c>
      <c r="H50" s="24">
        <f t="shared" ref="H50:AJ50" si="12">-H206</f>
        <v>0</v>
      </c>
      <c r="I50" s="24">
        <f t="shared" si="12"/>
        <v>0</v>
      </c>
      <c r="J50" s="24">
        <f t="shared" si="12"/>
        <v>0</v>
      </c>
      <c r="K50" s="24">
        <f t="shared" si="12"/>
        <v>0</v>
      </c>
      <c r="L50" s="24">
        <f t="shared" si="12"/>
        <v>0</v>
      </c>
      <c r="M50" s="24">
        <f t="shared" si="12"/>
        <v>0</v>
      </c>
      <c r="N50" s="24">
        <f t="shared" si="12"/>
        <v>0</v>
      </c>
      <c r="O50" s="24">
        <f t="shared" si="12"/>
        <v>0</v>
      </c>
      <c r="P50" s="24">
        <f t="shared" si="12"/>
        <v>0</v>
      </c>
      <c r="Q50" s="24">
        <f t="shared" si="12"/>
        <v>0</v>
      </c>
      <c r="R50" s="24">
        <f t="shared" si="12"/>
        <v>0</v>
      </c>
      <c r="S50" s="24">
        <f t="shared" si="12"/>
        <v>0</v>
      </c>
      <c r="T50" s="24">
        <f t="shared" si="12"/>
        <v>0</v>
      </c>
      <c r="U50" s="24">
        <f t="shared" si="12"/>
        <v>0</v>
      </c>
      <c r="V50" s="24">
        <f t="shared" si="12"/>
        <v>3542585.1457514493</v>
      </c>
      <c r="W50" s="24">
        <f t="shared" si="12"/>
        <v>0</v>
      </c>
      <c r="X50" s="24">
        <f t="shared" si="12"/>
        <v>0</v>
      </c>
      <c r="Y50" s="24">
        <f t="shared" si="12"/>
        <v>0</v>
      </c>
      <c r="Z50" s="24">
        <f t="shared" si="12"/>
        <v>0</v>
      </c>
      <c r="AA50" s="24">
        <f t="shared" si="12"/>
        <v>0</v>
      </c>
      <c r="AB50" s="24">
        <f t="shared" si="12"/>
        <v>0</v>
      </c>
      <c r="AC50" s="24">
        <f t="shared" si="12"/>
        <v>0</v>
      </c>
      <c r="AD50" s="24">
        <f t="shared" si="12"/>
        <v>0</v>
      </c>
      <c r="AE50" s="24">
        <f t="shared" si="12"/>
        <v>2571274.0620270707</v>
      </c>
      <c r="AF50" s="24">
        <f t="shared" si="12"/>
        <v>0</v>
      </c>
      <c r="AG50" s="24">
        <f t="shared" si="12"/>
        <v>0</v>
      </c>
      <c r="AH50" s="24">
        <f t="shared" si="12"/>
        <v>0</v>
      </c>
      <c r="AI50" s="24">
        <f t="shared" si="12"/>
        <v>0</v>
      </c>
      <c r="AJ50" s="24">
        <f t="shared" si="12"/>
        <v>0</v>
      </c>
    </row>
    <row r="51" spans="1:36" s="20" customFormat="1" ht="16">
      <c r="B51" s="21" t="s">
        <v>160</v>
      </c>
      <c r="C51" s="21"/>
      <c r="D51" s="21"/>
      <c r="E51" s="62"/>
      <c r="F51" s="21"/>
      <c r="G51" s="25">
        <f>MIN(G201,0)</f>
        <v>0</v>
      </c>
      <c r="H51" s="25">
        <f t="shared" ref="H51:AJ51" si="13">MIN(H201,0)</f>
        <v>0</v>
      </c>
      <c r="I51" s="25">
        <f t="shared" si="13"/>
        <v>0</v>
      </c>
      <c r="J51" s="25">
        <f t="shared" si="13"/>
        <v>0</v>
      </c>
      <c r="K51" s="25">
        <f t="shared" si="13"/>
        <v>0</v>
      </c>
      <c r="L51" s="25">
        <f t="shared" si="13"/>
        <v>0</v>
      </c>
      <c r="M51" s="25">
        <f t="shared" si="13"/>
        <v>0</v>
      </c>
      <c r="N51" s="25">
        <f t="shared" si="13"/>
        <v>0</v>
      </c>
      <c r="O51" s="25">
        <f t="shared" si="13"/>
        <v>0</v>
      </c>
      <c r="P51" s="25">
        <f t="shared" si="13"/>
        <v>0</v>
      </c>
      <c r="Q51" s="25">
        <f t="shared" si="13"/>
        <v>0</v>
      </c>
      <c r="R51" s="25">
        <f t="shared" si="13"/>
        <v>0</v>
      </c>
      <c r="S51" s="25">
        <f t="shared" si="13"/>
        <v>0</v>
      </c>
      <c r="T51" s="25">
        <f t="shared" si="13"/>
        <v>0</v>
      </c>
      <c r="U51" s="25">
        <f t="shared" si="13"/>
        <v>0</v>
      </c>
      <c r="V51" s="25">
        <f t="shared" si="13"/>
        <v>0</v>
      </c>
      <c r="W51" s="25">
        <f t="shared" si="13"/>
        <v>0</v>
      </c>
      <c r="X51" s="25">
        <f t="shared" si="13"/>
        <v>0</v>
      </c>
      <c r="Y51" s="25">
        <f t="shared" si="13"/>
        <v>0</v>
      </c>
      <c r="Z51" s="25">
        <f t="shared" si="13"/>
        <v>0</v>
      </c>
      <c r="AA51" s="25">
        <f t="shared" si="13"/>
        <v>0</v>
      </c>
      <c r="AB51" s="25">
        <f t="shared" si="13"/>
        <v>0</v>
      </c>
      <c r="AC51" s="25">
        <f t="shared" si="13"/>
        <v>0</v>
      </c>
      <c r="AD51" s="25">
        <f t="shared" si="13"/>
        <v>0</v>
      </c>
      <c r="AE51" s="25">
        <f t="shared" si="13"/>
        <v>0</v>
      </c>
      <c r="AF51" s="25">
        <f t="shared" si="13"/>
        <v>0</v>
      </c>
      <c r="AG51" s="25">
        <f t="shared" si="13"/>
        <v>0</v>
      </c>
      <c r="AH51" s="25">
        <f t="shared" si="13"/>
        <v>0</v>
      </c>
      <c r="AI51" s="25">
        <f t="shared" si="13"/>
        <v>0</v>
      </c>
      <c r="AJ51" s="25">
        <f t="shared" si="13"/>
        <v>0</v>
      </c>
    </row>
    <row r="52" spans="1:36" s="11" customFormat="1" ht="17">
      <c r="A52" s="13"/>
      <c r="B52" s="34" t="s">
        <v>66</v>
      </c>
      <c r="C52" s="34"/>
      <c r="D52" s="34"/>
      <c r="E52" s="302"/>
      <c r="F52" s="302"/>
      <c r="G52" s="27">
        <f>G47+SUM(G49:G51)</f>
        <v>9151149.9270090666</v>
      </c>
      <c r="H52" s="27">
        <f t="shared" ref="H52:AJ52" si="14">H47+SUM(H49:H51)</f>
        <v>8987230.0513078179</v>
      </c>
      <c r="I52" s="27">
        <f t="shared" si="14"/>
        <v>8822814.7902290653</v>
      </c>
      <c r="J52" s="27">
        <f t="shared" si="14"/>
        <v>8657885.4177419525</v>
      </c>
      <c r="K52" s="27">
        <f t="shared" si="14"/>
        <v>8492422.9533280097</v>
      </c>
      <c r="L52" s="27">
        <f t="shared" si="14"/>
        <v>8326408.1574227531</v>
      </c>
      <c r="M52" s="27">
        <f t="shared" si="14"/>
        <v>8159821.5267803427</v>
      </c>
      <c r="N52" s="27">
        <f t="shared" si="14"/>
        <v>7992643.2897599032</v>
      </c>
      <c r="O52" s="27">
        <f t="shared" si="14"/>
        <v>7824853.401532135</v>
      </c>
      <c r="P52" s="27">
        <f t="shared" si="14"/>
        <v>7656431.5392047996</v>
      </c>
      <c r="Q52" s="27">
        <f t="shared" si="14"/>
        <v>7487357.0968656847</v>
      </c>
      <c r="R52" s="27">
        <f t="shared" si="14"/>
        <v>7192725.7000686573</v>
      </c>
      <c r="S52" s="27">
        <f t="shared" si="14"/>
        <v>6649525.2389817955</v>
      </c>
      <c r="T52" s="27">
        <f t="shared" si="14"/>
        <v>6122644.7385083418</v>
      </c>
      <c r="U52" s="27">
        <f t="shared" si="14"/>
        <v>5611570.3287040824</v>
      </c>
      <c r="V52" s="27">
        <f t="shared" si="14"/>
        <v>15715218.088739589</v>
      </c>
      <c r="W52" s="27">
        <f t="shared" si="14"/>
        <v>11663348.732596286</v>
      </c>
      <c r="X52" s="27">
        <f t="shared" si="14"/>
        <v>11196759.004008781</v>
      </c>
      <c r="Y52" s="27">
        <f t="shared" si="14"/>
        <v>10744067.254708955</v>
      </c>
      <c r="Z52" s="27">
        <f t="shared" si="14"/>
        <v>11812259.241697002</v>
      </c>
      <c r="AA52" s="27">
        <f t="shared" si="14"/>
        <v>216718.11476890836</v>
      </c>
      <c r="AB52" s="27">
        <f t="shared" si="14"/>
        <v>185359.10610644519</v>
      </c>
      <c r="AC52" s="27">
        <f t="shared" si="14"/>
        <v>153758.44524126779</v>
      </c>
      <c r="AD52" s="27">
        <f t="shared" si="14"/>
        <v>121907.21253283601</v>
      </c>
      <c r="AE52" s="27">
        <f t="shared" si="14"/>
        <v>2640500.2227965714</v>
      </c>
      <c r="AF52" s="27">
        <f t="shared" si="14"/>
        <v>0</v>
      </c>
      <c r="AG52" s="27">
        <f t="shared" si="14"/>
        <v>0</v>
      </c>
      <c r="AH52" s="27">
        <f t="shared" si="14"/>
        <v>0</v>
      </c>
      <c r="AI52" s="27">
        <f t="shared" si="14"/>
        <v>0</v>
      </c>
      <c r="AJ52" s="27">
        <f t="shared" si="14"/>
        <v>0</v>
      </c>
    </row>
    <row r="53" spans="1:36" s="11" customFormat="1" ht="16">
      <c r="B53" s="16"/>
      <c r="C53" s="16"/>
      <c r="D53" s="16"/>
      <c r="G53" s="35"/>
    </row>
    <row r="54" spans="1:36" s="11" customFormat="1" ht="16">
      <c r="B54" s="12" t="s">
        <v>67</v>
      </c>
      <c r="C54" s="12"/>
      <c r="D54" s="12"/>
      <c r="F54" s="69"/>
      <c r="G54" s="35"/>
    </row>
    <row r="55" spans="1:36" s="11" customFormat="1" ht="16">
      <c r="B55" s="13" t="s">
        <v>231</v>
      </c>
      <c r="C55" s="13"/>
      <c r="D55" s="13"/>
      <c r="F55" s="35">
        <f>-(Inputs!$G$75-Inputs!$G$106-$F$85)</f>
        <v>-79810656.836137891</v>
      </c>
      <c r="G55" s="35">
        <v>0</v>
      </c>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row>
    <row r="56" spans="1:36" s="11" customFormat="1" ht="16">
      <c r="B56" s="22" t="s">
        <v>66</v>
      </c>
      <c r="C56" s="22"/>
      <c r="D56" s="22"/>
      <c r="E56" s="22"/>
      <c r="F56" s="22"/>
      <c r="G56" s="36">
        <f>G52</f>
        <v>9151149.9270090666</v>
      </c>
      <c r="H56" s="36">
        <f t="shared" ref="H56:AJ56" si="15">H52</f>
        <v>8987230.0513078179</v>
      </c>
      <c r="I56" s="36">
        <f t="shared" si="15"/>
        <v>8822814.7902290653</v>
      </c>
      <c r="J56" s="36">
        <f t="shared" si="15"/>
        <v>8657885.4177419525</v>
      </c>
      <c r="K56" s="36">
        <f t="shared" si="15"/>
        <v>8492422.9533280097</v>
      </c>
      <c r="L56" s="36">
        <f t="shared" si="15"/>
        <v>8326408.1574227531</v>
      </c>
      <c r="M56" s="36">
        <f t="shared" si="15"/>
        <v>8159821.5267803427</v>
      </c>
      <c r="N56" s="36">
        <f t="shared" si="15"/>
        <v>7992643.2897599032</v>
      </c>
      <c r="O56" s="36">
        <f t="shared" si="15"/>
        <v>7824853.401532135</v>
      </c>
      <c r="P56" s="36">
        <f t="shared" si="15"/>
        <v>7656431.5392047996</v>
      </c>
      <c r="Q56" s="36">
        <f t="shared" si="15"/>
        <v>7487357.0968656847</v>
      </c>
      <c r="R56" s="36">
        <f t="shared" si="15"/>
        <v>7192725.7000686573</v>
      </c>
      <c r="S56" s="36">
        <f t="shared" si="15"/>
        <v>6649525.2389817955</v>
      </c>
      <c r="T56" s="36">
        <f t="shared" si="15"/>
        <v>6122644.7385083418</v>
      </c>
      <c r="U56" s="36">
        <f t="shared" si="15"/>
        <v>5611570.3287040824</v>
      </c>
      <c r="V56" s="36">
        <f t="shared" si="15"/>
        <v>15715218.088739589</v>
      </c>
      <c r="W56" s="36">
        <f t="shared" si="15"/>
        <v>11663348.732596286</v>
      </c>
      <c r="X56" s="36">
        <f t="shared" si="15"/>
        <v>11196759.004008781</v>
      </c>
      <c r="Y56" s="36">
        <f t="shared" si="15"/>
        <v>10744067.254708955</v>
      </c>
      <c r="Z56" s="36">
        <f t="shared" si="15"/>
        <v>11812259.241697002</v>
      </c>
      <c r="AA56" s="36">
        <f t="shared" si="15"/>
        <v>216718.11476890836</v>
      </c>
      <c r="AB56" s="36">
        <f t="shared" si="15"/>
        <v>185359.10610644519</v>
      </c>
      <c r="AC56" s="36">
        <f t="shared" si="15"/>
        <v>153758.44524126779</v>
      </c>
      <c r="AD56" s="36">
        <f t="shared" si="15"/>
        <v>121907.21253283601</v>
      </c>
      <c r="AE56" s="36">
        <f t="shared" si="15"/>
        <v>2640500.2227965714</v>
      </c>
      <c r="AF56" s="36">
        <f t="shared" si="15"/>
        <v>0</v>
      </c>
      <c r="AG56" s="36">
        <f t="shared" si="15"/>
        <v>0</v>
      </c>
      <c r="AH56" s="36">
        <f t="shared" si="15"/>
        <v>0</v>
      </c>
      <c r="AI56" s="36">
        <f t="shared" si="15"/>
        <v>0</v>
      </c>
      <c r="AJ56" s="36">
        <f t="shared" si="15"/>
        <v>0</v>
      </c>
    </row>
    <row r="57" spans="1:36" s="11" customFormat="1" ht="17">
      <c r="B57" s="34" t="s">
        <v>113</v>
      </c>
      <c r="C57" s="34"/>
      <c r="D57" s="34"/>
      <c r="E57" s="332"/>
      <c r="F57" s="35">
        <f t="shared" ref="F57:AJ57" si="16">SUM(F55:F56)</f>
        <v>-79810656.836137891</v>
      </c>
      <c r="G57" s="35">
        <f t="shared" si="16"/>
        <v>9151149.9270090666</v>
      </c>
      <c r="H57" s="35">
        <f t="shared" si="16"/>
        <v>8987230.0513078179</v>
      </c>
      <c r="I57" s="35">
        <f t="shared" si="16"/>
        <v>8822814.7902290653</v>
      </c>
      <c r="J57" s="35">
        <f t="shared" si="16"/>
        <v>8657885.4177419525</v>
      </c>
      <c r="K57" s="35">
        <f t="shared" si="16"/>
        <v>8492422.9533280097</v>
      </c>
      <c r="L57" s="35">
        <f t="shared" si="16"/>
        <v>8326408.1574227531</v>
      </c>
      <c r="M57" s="35">
        <f t="shared" si="16"/>
        <v>8159821.5267803427</v>
      </c>
      <c r="N57" s="35">
        <f t="shared" si="16"/>
        <v>7992643.2897599032</v>
      </c>
      <c r="O57" s="35">
        <f t="shared" si="16"/>
        <v>7824853.401532135</v>
      </c>
      <c r="P57" s="35">
        <f t="shared" si="16"/>
        <v>7656431.5392047996</v>
      </c>
      <c r="Q57" s="35">
        <f t="shared" si="16"/>
        <v>7487357.0968656847</v>
      </c>
      <c r="R57" s="35">
        <f t="shared" si="16"/>
        <v>7192725.7000686573</v>
      </c>
      <c r="S57" s="35">
        <f t="shared" si="16"/>
        <v>6649525.2389817955</v>
      </c>
      <c r="T57" s="35">
        <f t="shared" si="16"/>
        <v>6122644.7385083418</v>
      </c>
      <c r="U57" s="35">
        <f t="shared" si="16"/>
        <v>5611570.3287040824</v>
      </c>
      <c r="V57" s="35">
        <f t="shared" si="16"/>
        <v>15715218.088739589</v>
      </c>
      <c r="W57" s="35">
        <f t="shared" si="16"/>
        <v>11663348.732596286</v>
      </c>
      <c r="X57" s="35">
        <f t="shared" si="16"/>
        <v>11196759.004008781</v>
      </c>
      <c r="Y57" s="35">
        <f t="shared" si="16"/>
        <v>10744067.254708955</v>
      </c>
      <c r="Z57" s="35">
        <f t="shared" si="16"/>
        <v>11812259.241697002</v>
      </c>
      <c r="AA57" s="35">
        <f t="shared" si="16"/>
        <v>216718.11476890836</v>
      </c>
      <c r="AB57" s="35">
        <f t="shared" si="16"/>
        <v>185359.10610644519</v>
      </c>
      <c r="AC57" s="35">
        <f t="shared" si="16"/>
        <v>153758.44524126779</v>
      </c>
      <c r="AD57" s="35">
        <f t="shared" si="16"/>
        <v>121907.21253283601</v>
      </c>
      <c r="AE57" s="35">
        <f t="shared" si="16"/>
        <v>2640500.2227965714</v>
      </c>
      <c r="AF57" s="35">
        <f t="shared" si="16"/>
        <v>0</v>
      </c>
      <c r="AG57" s="35">
        <f t="shared" si="16"/>
        <v>0</v>
      </c>
      <c r="AH57" s="35">
        <f t="shared" si="16"/>
        <v>0</v>
      </c>
      <c r="AI57" s="35">
        <f t="shared" si="16"/>
        <v>0</v>
      </c>
      <c r="AJ57" s="35">
        <f t="shared" si="16"/>
        <v>0</v>
      </c>
    </row>
    <row r="58" spans="1:36" s="11" customFormat="1" ht="17">
      <c r="B58" s="37" t="s">
        <v>68</v>
      </c>
      <c r="C58" s="37"/>
      <c r="D58" s="37"/>
      <c r="E58" s="35"/>
      <c r="F58" s="67"/>
      <c r="G58" s="318">
        <f>IF(ISERROR(IRR($F57:G57)),"NA",IRR($F57:G57))</f>
        <v>-0.88533924804305741</v>
      </c>
      <c r="H58" s="318">
        <f>IF(ISERROR(IRR($F57:H57)),"NA",IRR($F57:H57))</f>
        <v>-0.60223803843154156</v>
      </c>
      <c r="I58" s="318">
        <f>IF(ISERROR(IRR($F57:I57)),"NA",IRR($F57:I57))</f>
        <v>-0.39594948892691639</v>
      </c>
      <c r="J58" s="318">
        <f>IF(ISERROR(IRR($F57:J57)),"NA",IRR($F57:J57))</f>
        <v>-0.26126251280311252</v>
      </c>
      <c r="K58" s="318">
        <f>IF(ISERROR(IRR($F57:K57)),"NA",IRR($F57:K57))</f>
        <v>-0.17158357454985407</v>
      </c>
      <c r="L58" s="318">
        <f>IF(ISERROR(IRR($F57:L57)),"NA",IRR($F57:L57))</f>
        <v>-0.1097223286365937</v>
      </c>
      <c r="M58" s="318">
        <f>IF(ISERROR(IRR($F57:M57)),"NA",IRR($F57:M57))</f>
        <v>-6.5595815841775762E-2</v>
      </c>
      <c r="N58" s="318">
        <f>IF(ISERROR(IRR($F57:N57)),"NA",IRR($F57:N57))</f>
        <v>-3.320028020834942E-2</v>
      </c>
      <c r="O58" s="318">
        <f>IF(ISERROR(IRR($F57:O57)),"NA",IRR($F57:O57))</f>
        <v>-8.8343795260483748E-3</v>
      </c>
      <c r="P58" s="318">
        <f>IF(ISERROR(IRR($F57:P57)),"NA",IRR($F57:P57))</f>
        <v>9.8681574965866492E-3</v>
      </c>
      <c r="Q58" s="318">
        <f>IF(ISERROR(IRR($F57:Q57)),"NA",IRR($F57:Q57))</f>
        <v>2.4471553232751742E-2</v>
      </c>
      <c r="R58" s="318">
        <f>IF(ISERROR(IRR($F57:R57)),"NA",IRR($F57:R57))</f>
        <v>3.5859378024150956E-2</v>
      </c>
      <c r="S58" s="318">
        <f>IF(ISERROR(IRR($F57:S57)),"NA",IRR($F57:S57))</f>
        <v>4.4559294812275052E-2</v>
      </c>
      <c r="T58" s="318">
        <f>IF(ISERROR(IRR($F57:T57)),"NA",IRR($F57:T57))</f>
        <v>5.1293642175401777E-2</v>
      </c>
      <c r="U58" s="318">
        <f>IF(ISERROR(IRR($F57:U57)),"NA",IRR($F57:U57))</f>
        <v>5.655626224511745E-2</v>
      </c>
      <c r="V58" s="318">
        <f>IF(ISERROR(IRR($F57:V57)),"NA",IRR($F57:V57))</f>
        <v>6.8307468931788184E-2</v>
      </c>
      <c r="W58" s="318">
        <f>IF(ISERROR(IRR($F57:W57)),"NA",IRR($F57:W57))</f>
        <v>7.5073352813131544E-2</v>
      </c>
      <c r="X58" s="318">
        <f>IF(ISERROR(IRR($F57:X57)),"NA",IRR($F57:X57))</f>
        <v>8.0375989586321639E-2</v>
      </c>
      <c r="Y58" s="318">
        <f>IF(ISERROR(IRR($F57:Y57)),"NA",IRR($F57:Y57))</f>
        <v>8.4599080257821146E-2</v>
      </c>
      <c r="Z58" s="318">
        <f>IF(ISERROR(IRR($F57:Z57)),"NA",IRR($F57:Z57))</f>
        <v>8.8478651661892505E-2</v>
      </c>
      <c r="AA58" s="318">
        <f>IF(ISERROR(IRR($F57:AA57)),"NA",IRR($F57:AA57))</f>
        <v>8.8540933433600699E-2</v>
      </c>
      <c r="AB58" s="318">
        <f>IF(ISERROR(IRR($F57:AB57)),"NA",IRR($F57:AB57))</f>
        <v>8.8589795807547222E-2</v>
      </c>
      <c r="AC58" s="318">
        <f>IF(ISERROR(IRR($F57:AC57)),"NA",IRR($F57:AC57))</f>
        <v>8.8626982727145531E-2</v>
      </c>
      <c r="AD58" s="318">
        <f>IF(ISERROR(IRR($F57:AD57)),"NA",IRR($F57:AD57))</f>
        <v>8.8654039082386227E-2</v>
      </c>
      <c r="AE58" s="318">
        <f>IF(ISERROR(IRR($F57:AE57)),"NA",IRR($F57:AE57))</f>
        <v>8.9187281783869476E-2</v>
      </c>
      <c r="AF58" s="318">
        <f>IF(ISERROR(IRR($F57:AF57)),"NA",IRR($F57:AF57))</f>
        <v>8.9187281783869476E-2</v>
      </c>
      <c r="AG58" s="318">
        <f>IF(ISERROR(IRR($F57:AG57)),"NA",IRR($F57:AG57))</f>
        <v>8.9187281783869476E-2</v>
      </c>
      <c r="AH58" s="318">
        <f>IF(ISERROR(IRR($F57:AH57)),"NA",IRR($F57:AH57))</f>
        <v>8.9187281783869476E-2</v>
      </c>
      <c r="AI58" s="318">
        <f>IF(ISERROR(IRR($F57:AI57)),"NA",IRR($F57:AI57))</f>
        <v>8.9187281783869476E-2</v>
      </c>
      <c r="AJ58" s="318">
        <f>IF(ISERROR(IRR($F57:AJ57)),"NA",IRR($F57:AJ57))</f>
        <v>8.9187281783869476E-2</v>
      </c>
    </row>
    <row r="59" spans="1:36" s="11" customFormat="1" ht="16">
      <c r="B59" s="37"/>
      <c r="C59" s="37"/>
      <c r="D59" s="37"/>
      <c r="E59" s="35"/>
      <c r="F59" s="67"/>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1:36" s="11" customFormat="1" ht="17">
      <c r="B60" s="717" t="s">
        <v>399</v>
      </c>
      <c r="C60" s="324"/>
      <c r="D60" s="715"/>
      <c r="E60" s="716"/>
      <c r="F60" s="309"/>
      <c r="G60" s="36">
        <f>-G129-G144-G139</f>
        <v>-33285461.034356732</v>
      </c>
      <c r="H60" s="36">
        <f t="shared" ref="H60:AJ60" si="17">-H129-H144-H139</f>
        <v>-27246759.247666191</v>
      </c>
      <c r="I60" s="36">
        <f t="shared" si="17"/>
        <v>-16631584.573785815</v>
      </c>
      <c r="J60" s="36">
        <f t="shared" si="17"/>
        <v>-10797191.984945625</v>
      </c>
      <c r="K60" s="36">
        <f t="shared" si="17"/>
        <v>-10821184.838416796</v>
      </c>
      <c r="L60" s="36">
        <f t="shared" si="17"/>
        <v>-6108796.0243745605</v>
      </c>
      <c r="M60" s="36">
        <f t="shared" si="17"/>
        <v>-1327328.7611907565</v>
      </c>
      <c r="N60" s="36">
        <f t="shared" si="17"/>
        <v>-1321860.9890126437</v>
      </c>
      <c r="O60" s="36">
        <f t="shared" si="17"/>
        <v>-1316508.4109244037</v>
      </c>
      <c r="P60" s="36">
        <f t="shared" si="17"/>
        <v>-1311007.3245447858</v>
      </c>
      <c r="Q60" s="36">
        <f t="shared" si="17"/>
        <v>-1305709.0147788853</v>
      </c>
      <c r="R60" s="36">
        <f t="shared" si="17"/>
        <v>-1291479.3260085548</v>
      </c>
      <c r="S60" s="36">
        <f t="shared" si="17"/>
        <v>-1259836.0312243272</v>
      </c>
      <c r="T60" s="36">
        <f t="shared" si="17"/>
        <v>-1228968.9604825312</v>
      </c>
      <c r="U60" s="36">
        <f t="shared" si="17"/>
        <v>-1199200.9766640847</v>
      </c>
      <c r="V60" s="36">
        <f t="shared" si="17"/>
        <v>-1142747.7792481447</v>
      </c>
      <c r="W60" s="36">
        <f t="shared" si="17"/>
        <v>-1087251.2419774679</v>
      </c>
      <c r="X60" s="36">
        <f t="shared" si="17"/>
        <v>-1060002.6237865339</v>
      </c>
      <c r="Y60" s="36">
        <f t="shared" si="17"/>
        <v>-1033571.4641413277</v>
      </c>
      <c r="Z60" s="36">
        <f t="shared" si="17"/>
        <v>-1118927.9258117937</v>
      </c>
      <c r="AA60" s="36">
        <f t="shared" si="17"/>
        <v>-152560.08206801076</v>
      </c>
      <c r="AB60" s="36">
        <f t="shared" si="17"/>
        <v>-92679.553053222597</v>
      </c>
      <c r="AC60" s="36">
        <f t="shared" si="17"/>
        <v>-76879.222620633896</v>
      </c>
      <c r="AD60" s="36">
        <f t="shared" si="17"/>
        <v>-60953.606266418006</v>
      </c>
      <c r="AE60" s="36">
        <f t="shared" si="17"/>
        <v>-34613.080384750385</v>
      </c>
      <c r="AF60" s="36">
        <f t="shared" si="17"/>
        <v>0</v>
      </c>
      <c r="AG60" s="36">
        <f t="shared" si="17"/>
        <v>0</v>
      </c>
      <c r="AH60" s="36">
        <f t="shared" si="17"/>
        <v>0</v>
      </c>
      <c r="AI60" s="36">
        <f t="shared" si="17"/>
        <v>0</v>
      </c>
      <c r="AJ60" s="36">
        <f t="shared" si="17"/>
        <v>0</v>
      </c>
    </row>
    <row r="61" spans="1:36" s="11" customFormat="1" ht="16">
      <c r="B61" s="16" t="s">
        <v>252</v>
      </c>
      <c r="C61" s="16"/>
      <c r="D61" s="16"/>
      <c r="F61" s="68"/>
      <c r="G61" s="66">
        <f>IF(Inputs!$Q$104="No",0,(G$47+G$60))</f>
        <v>-21566319.336704142</v>
      </c>
      <c r="H61" s="66">
        <f>IF(Inputs!$Q$104="No",0,(H$47+H$60))</f>
        <v>-15511778.001769803</v>
      </c>
      <c r="I61" s="66">
        <f>IF(Inputs!$Q$104="No",0,(I$47+I$60))</f>
        <v>-4868676.0053469799</v>
      </c>
      <c r="J61" s="66">
        <f>IF(Inputs!$Q$104="No",0,(J$47+J$60))</f>
        <v>1006593.7754807808</v>
      </c>
      <c r="K61" s="66">
        <f>IF(Inputs!$Q$104="No",0,(K$47+K$60))</f>
        <v>1037351.4815835785</v>
      </c>
      <c r="L61" s="66">
        <f>IF(Inputs!$Q$104="No",0,(L$47+L$60))</f>
        <v>5819353.4353876235</v>
      </c>
      <c r="M61" s="66">
        <f>IF(Inputs!$Q$104="No",0,(M$47+M$60))</f>
        <v>10686355.959092777</v>
      </c>
      <c r="N61" s="66">
        <f>IF(Inputs!$Q$104="No",0,(N$47+N$60))</f>
        <v>10794415.917795675</v>
      </c>
      <c r="O61" s="66">
        <f>IF(Inputs!$Q$104="No",0,(O$47+O$60))</f>
        <v>10920632.960849537</v>
      </c>
      <c r="P61" s="66">
        <f>IF(Inputs!$Q$104="No",0,(P$47+P$60))</f>
        <v>11066572.342818744</v>
      </c>
      <c r="Q61" s="66">
        <f>IF(Inputs!$Q$104="No",0,(Q$47+Q$60))</f>
        <v>11233276.57921664</v>
      </c>
      <c r="R61" s="66">
        <f>IF(Inputs!$Q$104="No",0,(R$47+R$60))</f>
        <v>11306488.865989033</v>
      </c>
      <c r="S61" s="66">
        <f>IF(Inputs!$Q$104="No",0,(S$47+S$60))</f>
        <v>11173298.674121425</v>
      </c>
      <c r="T61" s="66">
        <f>IF(Inputs!$Q$104="No",0,(T$47+T$60))</f>
        <v>11082137.907035243</v>
      </c>
      <c r="U61" s="66">
        <f>IF(Inputs!$Q$104="No",0,(U$47+U$60))</f>
        <v>11034023.83008009</v>
      </c>
      <c r="V61" s="66">
        <f>IF(Inputs!$Q$104="No",0,(V$47+V$60))</f>
        <v>11029885.163739994</v>
      </c>
      <c r="W61" s="66">
        <f>IF(Inputs!$Q$104="No",0,(W$47+W$60))</f>
        <v>10576097.490618818</v>
      </c>
      <c r="X61" s="66">
        <f>IF(Inputs!$Q$104="No",0,(X$47+X$60))</f>
        <v>10136756.380222248</v>
      </c>
      <c r="Y61" s="66">
        <f>IF(Inputs!$Q$104="No",0,(Y$47+Y$60))</f>
        <v>9710495.7905676272</v>
      </c>
      <c r="Z61" s="66">
        <f>IF(Inputs!$Q$104="No",0,(Z$47+Z$60))</f>
        <v>10693331.315885209</v>
      </c>
      <c r="AA61" s="66">
        <f>IF(Inputs!$Q$104="No",0,(AA$47+AA$60))</f>
        <v>64158.032700897602</v>
      </c>
      <c r="AB61" s="66">
        <f>IF(Inputs!$Q$104="No",0,(AB$47+AB$60))</f>
        <v>92679.553053222597</v>
      </c>
      <c r="AC61" s="66">
        <f>IF(Inputs!$Q$104="No",0,(AC$47+AC$60))</f>
        <v>76879.222620633896</v>
      </c>
      <c r="AD61" s="66">
        <f>IF(Inputs!$Q$104="No",0,(AD$47+AD$60))</f>
        <v>60953.606266418006</v>
      </c>
      <c r="AE61" s="66">
        <f>IF(Inputs!$Q$104="No",0,(AE$47+AE$60))</f>
        <v>34613.080384750385</v>
      </c>
      <c r="AF61" s="66">
        <f>IF(Inputs!$Q$104="No",0,(AF$47+AF$60))</f>
        <v>0</v>
      </c>
      <c r="AG61" s="66">
        <f>IF(Inputs!$Q$104="No",0,(AG$47+AG$60))</f>
        <v>0</v>
      </c>
      <c r="AH61" s="66">
        <f>IF(Inputs!$Q$104="No",0,(AH$47+AH$60))</f>
        <v>0</v>
      </c>
      <c r="AI61" s="66">
        <f>IF(Inputs!$Q$104="No",0,(AI$47+AI$60))</f>
        <v>0</v>
      </c>
      <c r="AJ61" s="66">
        <f>IF(Inputs!$Q$104="No",0,(AJ$47+AJ$60))</f>
        <v>0</v>
      </c>
    </row>
    <row r="62" spans="1:36" s="11" customFormat="1" ht="16">
      <c r="B62" s="34"/>
      <c r="C62" s="34"/>
      <c r="D62" s="34"/>
      <c r="F62" s="68"/>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row>
    <row r="63" spans="1:36" s="11" customFormat="1" ht="16">
      <c r="B63" s="16" t="s">
        <v>253</v>
      </c>
      <c r="C63" s="16"/>
      <c r="D63" s="16"/>
      <c r="F63" s="310" t="str">
        <f>Inputs!Q106</f>
        <v>As Generated</v>
      </c>
      <c r="G63" s="66">
        <f t="shared" ref="G63:AJ63" si="18">IF($F$63="as generated",G$61,G$157)</f>
        <v>-21566319.336704142</v>
      </c>
      <c r="H63" s="66">
        <f t="shared" si="18"/>
        <v>-15511778.001769803</v>
      </c>
      <c r="I63" s="66">
        <f t="shared" si="18"/>
        <v>-4868676.0053469799</v>
      </c>
      <c r="J63" s="66">
        <f t="shared" si="18"/>
        <v>1006593.7754807808</v>
      </c>
      <c r="K63" s="66">
        <f t="shared" si="18"/>
        <v>1037351.4815835785</v>
      </c>
      <c r="L63" s="66">
        <f t="shared" si="18"/>
        <v>5819353.4353876235</v>
      </c>
      <c r="M63" s="66">
        <f t="shared" si="18"/>
        <v>10686355.959092777</v>
      </c>
      <c r="N63" s="66">
        <f t="shared" si="18"/>
        <v>10794415.917795675</v>
      </c>
      <c r="O63" s="66">
        <f t="shared" si="18"/>
        <v>10920632.960849537</v>
      </c>
      <c r="P63" s="66">
        <f t="shared" si="18"/>
        <v>11066572.342818744</v>
      </c>
      <c r="Q63" s="66">
        <f t="shared" si="18"/>
        <v>11233276.57921664</v>
      </c>
      <c r="R63" s="66">
        <f t="shared" si="18"/>
        <v>11306488.865989033</v>
      </c>
      <c r="S63" s="66">
        <f t="shared" si="18"/>
        <v>11173298.674121425</v>
      </c>
      <c r="T63" s="66">
        <f t="shared" si="18"/>
        <v>11082137.907035243</v>
      </c>
      <c r="U63" s="66">
        <f t="shared" si="18"/>
        <v>11034023.83008009</v>
      </c>
      <c r="V63" s="66">
        <f t="shared" si="18"/>
        <v>11029885.163739994</v>
      </c>
      <c r="W63" s="66">
        <f t="shared" si="18"/>
        <v>10576097.490618818</v>
      </c>
      <c r="X63" s="66">
        <f t="shared" si="18"/>
        <v>10136756.380222248</v>
      </c>
      <c r="Y63" s="66">
        <f t="shared" si="18"/>
        <v>9710495.7905676272</v>
      </c>
      <c r="Z63" s="66">
        <f t="shared" si="18"/>
        <v>10693331.315885209</v>
      </c>
      <c r="AA63" s="66">
        <f t="shared" si="18"/>
        <v>64158.032700897602</v>
      </c>
      <c r="AB63" s="66">
        <f t="shared" si="18"/>
        <v>92679.553053222597</v>
      </c>
      <c r="AC63" s="66">
        <f t="shared" si="18"/>
        <v>76879.222620633896</v>
      </c>
      <c r="AD63" s="66">
        <f t="shared" si="18"/>
        <v>60953.606266418006</v>
      </c>
      <c r="AE63" s="66">
        <f t="shared" si="18"/>
        <v>34613.080384750385</v>
      </c>
      <c r="AF63" s="66">
        <f t="shared" si="18"/>
        <v>0</v>
      </c>
      <c r="AG63" s="66">
        <f t="shared" si="18"/>
        <v>0</v>
      </c>
      <c r="AH63" s="66">
        <f t="shared" si="18"/>
        <v>0</v>
      </c>
      <c r="AI63" s="66">
        <f t="shared" si="18"/>
        <v>0</v>
      </c>
      <c r="AJ63" s="66">
        <f t="shared" si="18"/>
        <v>0</v>
      </c>
    </row>
    <row r="64" spans="1:36" s="11" customFormat="1" ht="16">
      <c r="B64" s="16" t="s">
        <v>254</v>
      </c>
      <c r="C64" s="16"/>
      <c r="D64" s="16"/>
      <c r="F64" s="310" t="str">
        <f>Inputs!Q108</f>
        <v>As Generated</v>
      </c>
      <c r="G64" s="66">
        <f t="shared" ref="G64:AJ64" si="19">IF($F$64="as generated",G$61,G$165)</f>
        <v>-21566319.336704142</v>
      </c>
      <c r="H64" s="66">
        <f t="shared" si="19"/>
        <v>-15511778.001769803</v>
      </c>
      <c r="I64" s="66">
        <f t="shared" si="19"/>
        <v>-4868676.0053469799</v>
      </c>
      <c r="J64" s="66">
        <f t="shared" si="19"/>
        <v>1006593.7754807808</v>
      </c>
      <c r="K64" s="66">
        <f t="shared" si="19"/>
        <v>1037351.4815835785</v>
      </c>
      <c r="L64" s="66">
        <f t="shared" si="19"/>
        <v>5819353.4353876235</v>
      </c>
      <c r="M64" s="66">
        <f t="shared" si="19"/>
        <v>10686355.959092777</v>
      </c>
      <c r="N64" s="66">
        <f t="shared" si="19"/>
        <v>10794415.917795675</v>
      </c>
      <c r="O64" s="66">
        <f t="shared" si="19"/>
        <v>10920632.960849537</v>
      </c>
      <c r="P64" s="66">
        <f t="shared" si="19"/>
        <v>11066572.342818744</v>
      </c>
      <c r="Q64" s="66">
        <f t="shared" si="19"/>
        <v>11233276.57921664</v>
      </c>
      <c r="R64" s="66">
        <f t="shared" si="19"/>
        <v>11306488.865989033</v>
      </c>
      <c r="S64" s="66">
        <f t="shared" si="19"/>
        <v>11173298.674121425</v>
      </c>
      <c r="T64" s="66">
        <f t="shared" si="19"/>
        <v>11082137.907035243</v>
      </c>
      <c r="U64" s="66">
        <f t="shared" si="19"/>
        <v>11034023.83008009</v>
      </c>
      <c r="V64" s="66">
        <f t="shared" si="19"/>
        <v>11029885.163739994</v>
      </c>
      <c r="W64" s="66">
        <f t="shared" si="19"/>
        <v>10576097.490618818</v>
      </c>
      <c r="X64" s="66">
        <f t="shared" si="19"/>
        <v>10136756.380222248</v>
      </c>
      <c r="Y64" s="66">
        <f t="shared" si="19"/>
        <v>9710495.7905676272</v>
      </c>
      <c r="Z64" s="66">
        <f t="shared" si="19"/>
        <v>10693331.315885209</v>
      </c>
      <c r="AA64" s="66">
        <f t="shared" si="19"/>
        <v>64158.032700897602</v>
      </c>
      <c r="AB64" s="66">
        <f t="shared" si="19"/>
        <v>92679.553053222597</v>
      </c>
      <c r="AC64" s="66">
        <f t="shared" si="19"/>
        <v>76879.222620633896</v>
      </c>
      <c r="AD64" s="66">
        <f t="shared" si="19"/>
        <v>60953.606266418006</v>
      </c>
      <c r="AE64" s="66">
        <f t="shared" si="19"/>
        <v>34613.080384750385</v>
      </c>
      <c r="AF64" s="66">
        <f t="shared" si="19"/>
        <v>0</v>
      </c>
      <c r="AG64" s="66">
        <f t="shared" si="19"/>
        <v>0</v>
      </c>
      <c r="AH64" s="66">
        <f t="shared" si="19"/>
        <v>0</v>
      </c>
      <c r="AI64" s="66">
        <f t="shared" si="19"/>
        <v>0</v>
      </c>
      <c r="AJ64" s="66">
        <f t="shared" si="19"/>
        <v>0</v>
      </c>
    </row>
    <row r="65" spans="2:36" s="11" customFormat="1" ht="16">
      <c r="B65" s="308"/>
      <c r="C65" s="308"/>
      <c r="D65" s="308"/>
      <c r="F65" s="68"/>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row>
    <row r="66" spans="2:36" s="20" customFormat="1" ht="16">
      <c r="B66" s="18" t="s">
        <v>122</v>
      </c>
      <c r="C66" s="18"/>
      <c r="D66" s="18"/>
      <c r="E66" s="302"/>
      <c r="G66" s="66">
        <f>IF(Inputs!$Q$104="No",0,-(G$63+G$67)*Inputs!$Q$105)</f>
        <v>6906613.7675795015</v>
      </c>
      <c r="H66" s="66">
        <f>IF(Inputs!$Q$104="No",0,-(H$63+H$67)*Inputs!$Q$105)</f>
        <v>4967646.9050667789</v>
      </c>
      <c r="I66" s="66">
        <f>IF(Inputs!$Q$104="No",0,-(I$63+I$67)*Inputs!$Q$105)</f>
        <v>1559193.49071237</v>
      </c>
      <c r="J66" s="66">
        <f>IF(Inputs!$Q$104="No",0,-(J$63+J$67)*Inputs!$Q$105)</f>
        <v>-322361.65659772005</v>
      </c>
      <c r="K66" s="66">
        <f>IF(Inputs!$Q$104="No",0,-(K$63+K$67)*Inputs!$Q$105)</f>
        <v>-332211.81197714101</v>
      </c>
      <c r="L66" s="66">
        <f>IF(Inputs!$Q$104="No",0,-(L$63+L$67)*Inputs!$Q$105)</f>
        <v>-1863647.9376828861</v>
      </c>
      <c r="M66" s="66">
        <f>IF(Inputs!$Q$104="No",0,-(M$63+M$67)*Inputs!$Q$105)</f>
        <v>-3422305.4958994617</v>
      </c>
      <c r="N66" s="66">
        <f>IF(Inputs!$Q$104="No",0,-(N$63+N$67)*Inputs!$Q$105)</f>
        <v>-3456911.6976740644</v>
      </c>
      <c r="O66" s="66">
        <f>IF(Inputs!$Q$104="No",0,-(O$63+O$67)*Inputs!$Q$105)</f>
        <v>-3497332.7057120637</v>
      </c>
      <c r="P66" s="66">
        <f>IF(Inputs!$Q$104="No",0,-(P$63+P$67)*Inputs!$Q$105)</f>
        <v>-3544069.7927877023</v>
      </c>
      <c r="Q66" s="66">
        <f>IF(Inputs!$Q$104="No",0,-(Q$63+Q$67)*Inputs!$Q$105)</f>
        <v>-3597456.8244941286</v>
      </c>
      <c r="R66" s="66">
        <f>IF(Inputs!$Q$104="No",0,-(R$63+R$67)*Inputs!$Q$105)</f>
        <v>-3620903.0593329878</v>
      </c>
      <c r="S66" s="66">
        <f>IF(Inputs!$Q$104="No",0,-(S$63+S$67)*Inputs!$Q$105)</f>
        <v>-3578248.9003873859</v>
      </c>
      <c r="T66" s="66">
        <f>IF(Inputs!$Q$104="No",0,-(T$63+T$67)*Inputs!$Q$105)</f>
        <v>-3549054.6647280362</v>
      </c>
      <c r="U66" s="66">
        <f>IF(Inputs!$Q$104="No",0,-(U$63+U$67)*Inputs!$Q$105)</f>
        <v>-3533646.1315831486</v>
      </c>
      <c r="V66" s="66">
        <f>IF(Inputs!$Q$104="No",0,-(V$63+V$67)*Inputs!$Q$105)</f>
        <v>-3532320.7236877326</v>
      </c>
      <c r="W66" s="66">
        <f>IF(Inputs!$Q$104="No",0,-(W$63+W$67)*Inputs!$Q$105)</f>
        <v>-3386995.2213706761</v>
      </c>
      <c r="X66" s="66">
        <f>IF(Inputs!$Q$104="No",0,-(X$63+X$67)*Inputs!$Q$105)</f>
        <v>-3246296.2307661744</v>
      </c>
      <c r="Y66" s="66">
        <f>IF(Inputs!$Q$104="No",0,-(Y$63+Y$67)*Inputs!$Q$105)</f>
        <v>-3109786.2769292826</v>
      </c>
      <c r="Z66" s="66">
        <f>IF(Inputs!$Q$104="No",0,-(Z$63+Z$67)*Inputs!$Q$105)</f>
        <v>-3424539.353912238</v>
      </c>
      <c r="AA66" s="66">
        <f>IF(Inputs!$Q$104="No",0,-(AA$63+AA$67)*Inputs!$Q$105)</f>
        <v>-20546.609972462455</v>
      </c>
      <c r="AB66" s="66">
        <f>IF(Inputs!$Q$104="No",0,-(AB$63+AB$67)*Inputs!$Q$105)</f>
        <v>-29680.626865294533</v>
      </c>
      <c r="AC66" s="66">
        <f>IF(Inputs!$Q$104="No",0,-(AC$63+AC$67)*Inputs!$Q$105)</f>
        <v>-24620.571044258006</v>
      </c>
      <c r="AD66" s="66">
        <f>IF(Inputs!$Q$104="No",0,-(AD$63+AD$67)*Inputs!$Q$105)</f>
        <v>-19520.392406820363</v>
      </c>
      <c r="AE66" s="66">
        <f>IF(Inputs!$Q$104="No",0,-(AE$63+AE$67)*Inputs!$Q$105)</f>
        <v>-11084.83899321631</v>
      </c>
      <c r="AF66" s="66">
        <f>IF(Inputs!$Q$104="No",0,-(AF$63+AF$67)*Inputs!$Q$105)</f>
        <v>0</v>
      </c>
      <c r="AG66" s="66">
        <f>IF(Inputs!$Q$104="No",0,-(AG$63+AG$67)*Inputs!$Q$105)</f>
        <v>0</v>
      </c>
      <c r="AH66" s="66">
        <f>IF(Inputs!$Q$104="No",0,-(AH$63+AH$67)*Inputs!$Q$105)</f>
        <v>0</v>
      </c>
      <c r="AI66" s="66">
        <f>IF(Inputs!$Q$104="No",0,-(AI$63+AI$67)*Inputs!$Q$105)</f>
        <v>0</v>
      </c>
      <c r="AJ66" s="66">
        <f>IF(Inputs!$Q$104="No",0,-(AJ$63+AJ$67)*Inputs!$Q$105)</f>
        <v>0</v>
      </c>
    </row>
    <row r="67" spans="2:36" s="20" customFormat="1" ht="16">
      <c r="B67" s="18" t="s">
        <v>152</v>
      </c>
      <c r="C67" s="18"/>
      <c r="D67" s="18"/>
      <c r="G67" s="66">
        <f>IF(Inputs!$Q$104="No",0,-(G$64-IF(AND(Inputs!$Q$74="Cash",Inputs!$Q$76="No"),'Cash Flow'!G$21,0))*Inputs!$Q$107)</f>
        <v>1833137.1436198521</v>
      </c>
      <c r="H67" s="66">
        <f>IF(Inputs!$Q$104="No",0,-(H$64-IF(AND(Inputs!$Q$74="Cash",Inputs!$Q$76="No"),'Cash Flow'!H$21,0))*Inputs!$Q$107)</f>
        <v>1318501.1301504334</v>
      </c>
      <c r="I67" s="66">
        <f>IF(Inputs!$Q$104="No",0,-(I$64-IF(AND(Inputs!$Q$74="Cash",Inputs!$Q$76="No"),'Cash Flow'!I$21,0))*Inputs!$Q$107)</f>
        <v>413837.46045449335</v>
      </c>
      <c r="J67" s="66">
        <f>IF(Inputs!$Q$104="No",0,-(J$64-IF(AND(Inputs!$Q$74="Cash",Inputs!$Q$76="No"),'Cash Flow'!J$21,0))*Inputs!$Q$107)</f>
        <v>-85560.470915866375</v>
      </c>
      <c r="K67" s="66">
        <f>IF(Inputs!$Q$104="No",0,-(K$64-IF(AND(Inputs!$Q$74="Cash",Inputs!$Q$76="No"),'Cash Flow'!K$21,0))*Inputs!$Q$107)</f>
        <v>-88174.875934604177</v>
      </c>
      <c r="L67" s="66">
        <f>IF(Inputs!$Q$104="No",0,-(L$64-IF(AND(Inputs!$Q$74="Cash",Inputs!$Q$76="No"),'Cash Flow'!L$21,0))*Inputs!$Q$107)</f>
        <v>-494645.04200794804</v>
      </c>
      <c r="M67" s="66">
        <f>IF(Inputs!$Q$104="No",0,-(M$64-IF(AND(Inputs!$Q$74="Cash",Inputs!$Q$76="No"),'Cash Flow'!M$21,0))*Inputs!$Q$107)</f>
        <v>-908340.25652288611</v>
      </c>
      <c r="N67" s="66">
        <f>IF(Inputs!$Q$104="No",0,-(N$64-IF(AND(Inputs!$Q$74="Cash",Inputs!$Q$76="No"),'Cash Flow'!N$21,0))*Inputs!$Q$107)</f>
        <v>-917525.35301263246</v>
      </c>
      <c r="O67" s="66">
        <f>IF(Inputs!$Q$104="No",0,-(O$64-IF(AND(Inputs!$Q$74="Cash",Inputs!$Q$76="No"),'Cash Flow'!O$21,0))*Inputs!$Q$107)</f>
        <v>-928253.80167221068</v>
      </c>
      <c r="P67" s="66">
        <f>IF(Inputs!$Q$104="No",0,-(P$64-IF(AND(Inputs!$Q$74="Cash",Inputs!$Q$76="No"),'Cash Flow'!P$21,0))*Inputs!$Q$107)</f>
        <v>-940658.64913959336</v>
      </c>
      <c r="Q67" s="66">
        <f>IF(Inputs!$Q$104="No",0,-(Q$64-IF(AND(Inputs!$Q$74="Cash",Inputs!$Q$76="No"),'Cash Flow'!Q$21,0))*Inputs!$Q$107)</f>
        <v>-954828.50923341454</v>
      </c>
      <c r="R67" s="66">
        <f>IF(Inputs!$Q$104="No",0,-(R$64-IF(AND(Inputs!$Q$74="Cash",Inputs!$Q$76="No"),'Cash Flow'!R$21,0))*Inputs!$Q$107)</f>
        <v>-961051.55360906792</v>
      </c>
      <c r="S67" s="66">
        <f>IF(Inputs!$Q$104="No",0,-(S$64-IF(AND(Inputs!$Q$74="Cash",Inputs!$Q$76="No"),'Cash Flow'!S$21,0))*Inputs!$Q$107)</f>
        <v>-949730.38730032113</v>
      </c>
      <c r="T67" s="66">
        <f>IF(Inputs!$Q$104="No",0,-(T$64-IF(AND(Inputs!$Q$74="Cash",Inputs!$Q$76="No"),'Cash Flow'!T$21,0))*Inputs!$Q$107)</f>
        <v>-941981.72209799569</v>
      </c>
      <c r="U67" s="66">
        <f>IF(Inputs!$Q$104="No",0,-(U$64-IF(AND(Inputs!$Q$74="Cash",Inputs!$Q$76="No"),'Cash Flow'!U$21,0))*Inputs!$Q$107)</f>
        <v>-937892.02555680776</v>
      </c>
      <c r="V67" s="66">
        <f>IF(Inputs!$Q$104="No",0,-(V$64-IF(AND(Inputs!$Q$74="Cash",Inputs!$Q$76="No"),'Cash Flow'!V$21,0))*Inputs!$Q$107)</f>
        <v>-937540.23891789955</v>
      </c>
      <c r="W67" s="66">
        <f>IF(Inputs!$Q$104="No",0,-(W$64-IF(AND(Inputs!$Q$74="Cash",Inputs!$Q$76="No"),'Cash Flow'!W$21,0))*Inputs!$Q$107)</f>
        <v>-898968.28670259961</v>
      </c>
      <c r="X67" s="66">
        <f>IF(Inputs!$Q$104="No",0,-(X$64-IF(AND(Inputs!$Q$74="Cash",Inputs!$Q$76="No"),'Cash Flow'!X$21,0))*Inputs!$Q$107)</f>
        <v>-861624.29231889115</v>
      </c>
      <c r="Y67" s="66">
        <f>IF(Inputs!$Q$104="No",0,-(Y$64-IF(AND(Inputs!$Q$74="Cash",Inputs!$Q$76="No"),'Cash Flow'!Y$21,0))*Inputs!$Q$107)</f>
        <v>-825392.14219824842</v>
      </c>
      <c r="Z67" s="66">
        <f>IF(Inputs!$Q$104="No",0,-(Z$64-IF(AND(Inputs!$Q$74="Cash",Inputs!$Q$76="No"),'Cash Flow'!Z$21,0))*Inputs!$Q$107)</f>
        <v>-908933.16185024276</v>
      </c>
      <c r="AA67" s="66">
        <f>IF(Inputs!$Q$104="No",0,-(AA$64-IF(AND(Inputs!$Q$74="Cash",Inputs!$Q$76="No"),'Cash Flow'!AA$21,0))*Inputs!$Q$107)</f>
        <v>-5453.4327795762965</v>
      </c>
      <c r="AB67" s="66">
        <f>IF(Inputs!$Q$104="No",0,-(AB$64-IF(AND(Inputs!$Q$74="Cash",Inputs!$Q$76="No"),'Cash Flow'!AB$21,0))*Inputs!$Q$107)</f>
        <v>-7877.7620095239217</v>
      </c>
      <c r="AC67" s="66">
        <f>IF(Inputs!$Q$104="No",0,-(AC$64-IF(AND(Inputs!$Q$74="Cash",Inputs!$Q$76="No"),'Cash Flow'!AC$21,0))*Inputs!$Q$107)</f>
        <v>-6534.7339227538814</v>
      </c>
      <c r="AD67" s="66">
        <f>IF(Inputs!$Q$104="No",0,-(AD$64-IF(AND(Inputs!$Q$74="Cash",Inputs!$Q$76="No"),'Cash Flow'!AD$21,0))*Inputs!$Q$107)</f>
        <v>-5181.0565326455308</v>
      </c>
      <c r="AE67" s="66">
        <f>IF(Inputs!$Q$104="No",0,-(AE$64-IF(AND(Inputs!$Q$74="Cash",Inputs!$Q$76="No"),'Cash Flow'!AE$21,0))*Inputs!$Q$107)</f>
        <v>-2942.111832703783</v>
      </c>
      <c r="AF67" s="66">
        <f>IF(Inputs!$Q$104="No",0,-(AF$64-IF(AND(Inputs!$Q$74="Cash",Inputs!$Q$76="No"),'Cash Flow'!AF$21,0))*Inputs!$Q$107)</f>
        <v>0</v>
      </c>
      <c r="AG67" s="66">
        <f>IF(Inputs!$Q$104="No",0,-(AG$64-IF(AND(Inputs!$Q$74="Cash",Inputs!$Q$76="No"),'Cash Flow'!AG$21,0))*Inputs!$Q$107)</f>
        <v>0</v>
      </c>
      <c r="AH67" s="66">
        <f>IF(Inputs!$Q$104="No",0,-(AH$64-IF(AND(Inputs!$Q$74="Cash",Inputs!$Q$76="No"),'Cash Flow'!AH$21,0))*Inputs!$Q$107)</f>
        <v>0</v>
      </c>
      <c r="AI67" s="66">
        <f>IF(Inputs!$Q$104="No",0,-(AI$64-IF(AND(Inputs!$Q$74="Cash",Inputs!$Q$76="No"),'Cash Flow'!AI$21,0))*Inputs!$Q$107)</f>
        <v>0</v>
      </c>
      <c r="AJ67" s="66">
        <f>IF(Inputs!$Q$104="No",0,-(AJ$64-IF(AND(Inputs!$Q$74="Cash",Inputs!$Q$76="No"),'Cash Flow'!AJ$21,0))*Inputs!$Q$107)</f>
        <v>0</v>
      </c>
    </row>
    <row r="68" spans="2:36" s="11" customFormat="1" ht="16">
      <c r="B68" s="18" t="s">
        <v>238</v>
      </c>
      <c r="C68" s="18"/>
      <c r="D68" s="18"/>
      <c r="E68" s="302"/>
      <c r="F68" s="20"/>
      <c r="G68" s="24">
        <f>IF(AND(Inputs!$Q$55="Cost-Based",Inputs!$Q$56="Cash Grant",G$2=1),Inputs!$Q$59,IF(Inputs!$Q$106="as generated",'Cash Flow'!G$172,-G$179))</f>
        <v>28296271.507218748</v>
      </c>
      <c r="H68" s="24">
        <f>IF(AND(Inputs!$Q$55="Cost-Based",Inputs!$Q$56="Cash Grant",H$2=1),Inputs!$Q$59,IF(Inputs!$Q$106="as generated",'Cash Flow'!H$172,-H$179))</f>
        <v>0</v>
      </c>
      <c r="I68" s="24">
        <f>IF(AND(Inputs!$Q$55="Cost-Based",Inputs!$Q$56="Cash Grant",I$2=1),Inputs!$Q$59,IF(Inputs!$Q$106="as generated",'Cash Flow'!I$172,-I$179))</f>
        <v>0</v>
      </c>
      <c r="J68" s="24">
        <f>IF(AND(Inputs!$Q$55="Cost-Based",Inputs!$Q$56="Cash Grant",J$2=1),Inputs!$Q$59,IF(Inputs!$Q$106="as generated",'Cash Flow'!J$172,-J$179))</f>
        <v>0</v>
      </c>
      <c r="K68" s="24">
        <f>IF(AND(Inputs!$Q$55="Cost-Based",Inputs!$Q$56="Cash Grant",K$2=1),Inputs!$Q$59,IF(Inputs!$Q$106="as generated",'Cash Flow'!K$172,-K$179))</f>
        <v>0</v>
      </c>
      <c r="L68" s="24">
        <f>IF(AND(Inputs!$Q$55="Cost-Based",Inputs!$Q$56="Cash Grant",L$2=1),Inputs!$Q$59,IF(Inputs!$Q$106="as generated",'Cash Flow'!L$172,-L$179))</f>
        <v>0</v>
      </c>
      <c r="M68" s="24">
        <f>IF(AND(Inputs!$Q$55="Cost-Based",Inputs!$Q$56="Cash Grant",M$2=1),Inputs!$Q$59,IF(Inputs!$Q$106="as generated",'Cash Flow'!M$172,-M$179))</f>
        <v>0</v>
      </c>
      <c r="N68" s="24">
        <f>IF(AND(Inputs!$Q$55="Cost-Based",Inputs!$Q$56="Cash Grant",N$2=1),Inputs!$Q$59,IF(Inputs!$Q$106="as generated",'Cash Flow'!N$172,-N$179))</f>
        <v>0</v>
      </c>
      <c r="O68" s="24">
        <f>IF(AND(Inputs!$Q$55="Cost-Based",Inputs!$Q$56="Cash Grant",O$2=1),Inputs!$Q$59,IF(Inputs!$Q$106="as generated",'Cash Flow'!O$172,-O$179))</f>
        <v>0</v>
      </c>
      <c r="P68" s="24">
        <f>IF(AND(Inputs!$Q$55="Cost-Based",Inputs!$Q$56="Cash Grant",P$2=1),Inputs!$Q$59,IF(Inputs!$Q$106="as generated",'Cash Flow'!P$172,-P$179))</f>
        <v>0</v>
      </c>
      <c r="Q68" s="24">
        <f>IF(AND(Inputs!$Q$55="Cost-Based",Inputs!$Q$56="Cash Grant",Q$2=1),Inputs!$Q$59,IF(Inputs!$Q$106="as generated",'Cash Flow'!Q$172,-Q$179))</f>
        <v>0</v>
      </c>
      <c r="R68" s="24">
        <f>IF(AND(Inputs!$Q$55="Cost-Based",Inputs!$Q$56="Cash Grant",R$2=1),Inputs!$Q$59,IF(Inputs!$Q$106="as generated",'Cash Flow'!R$172,-R$179))</f>
        <v>0</v>
      </c>
      <c r="S68" s="24">
        <f>IF(AND(Inputs!$Q$55="Cost-Based",Inputs!$Q$56="Cash Grant",S$2=1),Inputs!$Q$59,IF(Inputs!$Q$106="as generated",'Cash Flow'!S$172,-S$179))</f>
        <v>0</v>
      </c>
      <c r="T68" s="24">
        <f>IF(AND(Inputs!$Q$55="Cost-Based",Inputs!$Q$56="Cash Grant",T$2=1),Inputs!$Q$59,IF(Inputs!$Q$106="as generated",'Cash Flow'!T$172,-T$179))</f>
        <v>0</v>
      </c>
      <c r="U68" s="24">
        <f>IF(AND(Inputs!$Q$55="Cost-Based",Inputs!$Q$56="Cash Grant",U$2=1),Inputs!$Q$59,IF(Inputs!$Q$106="as generated",'Cash Flow'!U$172,-U$179))</f>
        <v>0</v>
      </c>
      <c r="V68" s="24">
        <f>IF(AND(Inputs!$Q$55="Cost-Based",Inputs!$Q$56="Cash Grant",V$2=1),Inputs!$Q$59,IF(Inputs!$Q$106="as generated",'Cash Flow'!V$172,-V$179))</f>
        <v>0</v>
      </c>
      <c r="W68" s="24">
        <f>IF(AND(Inputs!$Q$55="Cost-Based",Inputs!$Q$56="Cash Grant",W$2=1),Inputs!$Q$59,IF(Inputs!$Q$106="as generated",'Cash Flow'!W$172,-W$179))</f>
        <v>0</v>
      </c>
      <c r="X68" s="24">
        <f>IF(AND(Inputs!$Q$55="Cost-Based",Inputs!$Q$56="Cash Grant",X$2=1),Inputs!$Q$59,IF(Inputs!$Q$106="as generated",'Cash Flow'!X$172,-X$179))</f>
        <v>0</v>
      </c>
      <c r="Y68" s="24">
        <f>IF(AND(Inputs!$Q$55="Cost-Based",Inputs!$Q$56="Cash Grant",Y$2=1),Inputs!$Q$59,IF(Inputs!$Q$106="as generated",'Cash Flow'!Y$172,-Y$179))</f>
        <v>0</v>
      </c>
      <c r="Z68" s="24">
        <f>IF(AND(Inputs!$Q$55="Cost-Based",Inputs!$Q$56="Cash Grant",Z$2=1),Inputs!$Q$59,IF(Inputs!$Q$106="as generated",'Cash Flow'!Z$172,-Z$179))</f>
        <v>0</v>
      </c>
      <c r="AA68" s="24">
        <f>IF(AND(Inputs!$Q$55="Cost-Based",Inputs!$Q$56="Cash Grant",AA$2=1),Inputs!$Q$59,IF(Inputs!$Q$106="as generated",'Cash Flow'!AA$172,-AA$179))</f>
        <v>0</v>
      </c>
      <c r="AB68" s="24">
        <f>IF(AND(Inputs!$Q$55="Cost-Based",Inputs!$Q$56="Cash Grant",AB$2=1),Inputs!$Q$59,IF(Inputs!$Q$106="as generated",'Cash Flow'!AB$172,-AB$179))</f>
        <v>0</v>
      </c>
      <c r="AC68" s="24">
        <f>IF(AND(Inputs!$Q$55="Cost-Based",Inputs!$Q$56="Cash Grant",AC$2=1),Inputs!$Q$59,IF(Inputs!$Q$106="as generated",'Cash Flow'!AC$172,-AC$179))</f>
        <v>0</v>
      </c>
      <c r="AD68" s="24">
        <f>IF(AND(Inputs!$Q$55="Cost-Based",Inputs!$Q$56="Cash Grant",AD$2=1),Inputs!$Q$59,IF(Inputs!$Q$106="as generated",'Cash Flow'!AD$172,-AD$179))</f>
        <v>0</v>
      </c>
      <c r="AE68" s="24">
        <f>IF(AND(Inputs!$Q$55="Cost-Based",Inputs!$Q$56="Cash Grant",AE$2=1),Inputs!$Q$59,IF(Inputs!$Q$106="as generated",'Cash Flow'!AE$172,-AE$179))</f>
        <v>0</v>
      </c>
      <c r="AF68" s="24">
        <f>IF(AND(Inputs!$Q$55="Cost-Based",Inputs!$Q$56="Cash Grant",AF$2=1),Inputs!$Q$59,IF(Inputs!$Q$106="as generated",'Cash Flow'!AF$172,-AF$179))</f>
        <v>0</v>
      </c>
      <c r="AG68" s="24">
        <f>IF(AND(Inputs!$Q$55="Cost-Based",Inputs!$Q$56="Cash Grant",AG$2=1),Inputs!$Q$59,IF(Inputs!$Q$106="as generated",'Cash Flow'!AG$172,-AG$179))</f>
        <v>0</v>
      </c>
      <c r="AH68" s="24">
        <f>IF(AND(Inputs!$Q$55="Cost-Based",Inputs!$Q$56="Cash Grant",AH$2=1),Inputs!$Q$59,IF(Inputs!$Q$106="as generated",'Cash Flow'!AH$172,-AH$179))</f>
        <v>0</v>
      </c>
      <c r="AI68" s="24">
        <f>IF(AND(Inputs!$Q$55="Cost-Based",Inputs!$Q$56="Cash Grant",AI$2=1),Inputs!$Q$59,IF(Inputs!$Q$106="as generated",'Cash Flow'!AI$172,-AI$179))</f>
        <v>0</v>
      </c>
      <c r="AJ68" s="24">
        <f>IF(AND(Inputs!$Q$55="Cost-Based",Inputs!$Q$56="Cash Grant",AJ$2=1),Inputs!$Q$59,IF(Inputs!$Q$106="as generated",'Cash Flow'!AJ$172,-AJ$179))</f>
        <v>0</v>
      </c>
    </row>
    <row r="69" spans="2:36" s="11" customFormat="1" ht="16">
      <c r="B69" s="21" t="s">
        <v>125</v>
      </c>
      <c r="C69" s="21"/>
      <c r="D69" s="21"/>
      <c r="E69" s="303"/>
      <c r="F69" s="22"/>
      <c r="G69" s="25">
        <f>IF(Inputs!$Q$108="as generated",'Cash Flow'!G$186,-G$193)</f>
        <v>0</v>
      </c>
      <c r="H69" s="25">
        <f>IF(Inputs!$Q$108="as generated",'Cash Flow'!H$186,-H$193)</f>
        <v>0</v>
      </c>
      <c r="I69" s="25">
        <f>IF(Inputs!$Q$108="as generated",'Cash Flow'!I$186,-I$193)</f>
        <v>0</v>
      </c>
      <c r="J69" s="25">
        <f>IF(Inputs!$Q$108="as generated",'Cash Flow'!J$186,-J$193)</f>
        <v>0</v>
      </c>
      <c r="K69" s="25">
        <f>IF(Inputs!$Q$108="as generated",'Cash Flow'!K$186,-K$193)</f>
        <v>0</v>
      </c>
      <c r="L69" s="25">
        <f>IF(Inputs!$Q$108="as generated",'Cash Flow'!L$186,-L$193)</f>
        <v>0</v>
      </c>
      <c r="M69" s="25">
        <f>IF(Inputs!$Q$108="as generated",'Cash Flow'!M$186,-M$193)</f>
        <v>0</v>
      </c>
      <c r="N69" s="25">
        <f>IF(Inputs!$Q$108="as generated",'Cash Flow'!N$186,-N$193)</f>
        <v>0</v>
      </c>
      <c r="O69" s="25">
        <f>IF(Inputs!$Q$108="as generated",'Cash Flow'!O$186,-O$193)</f>
        <v>0</v>
      </c>
      <c r="P69" s="25">
        <f>IF(Inputs!$Q$108="as generated",'Cash Flow'!P$186,-P$193)</f>
        <v>0</v>
      </c>
      <c r="Q69" s="25">
        <f>IF(Inputs!$Q$108="as generated",'Cash Flow'!Q$186,-Q$193)</f>
        <v>0</v>
      </c>
      <c r="R69" s="25">
        <f>IF(Inputs!$Q$108="as generated",'Cash Flow'!R$186,-R$193)</f>
        <v>0</v>
      </c>
      <c r="S69" s="25">
        <f>IF(Inputs!$Q$108="as generated",'Cash Flow'!S$186,-S$193)</f>
        <v>0</v>
      </c>
      <c r="T69" s="25">
        <f>IF(Inputs!$Q$108="as generated",'Cash Flow'!T$186,-T$193)</f>
        <v>0</v>
      </c>
      <c r="U69" s="25">
        <f>IF(Inputs!$Q$108="as generated",'Cash Flow'!U$186,-U$193)</f>
        <v>0</v>
      </c>
      <c r="V69" s="25">
        <f>IF(Inputs!$Q$108="as generated",'Cash Flow'!V$186,-V$193)</f>
        <v>0</v>
      </c>
      <c r="W69" s="25">
        <f>IF(Inputs!$Q$108="as generated",'Cash Flow'!W$186,-W$193)</f>
        <v>0</v>
      </c>
      <c r="X69" s="25">
        <f>IF(Inputs!$Q$108="as generated",'Cash Flow'!X$186,-X$193)</f>
        <v>0</v>
      </c>
      <c r="Y69" s="25">
        <f>IF(Inputs!$Q$108="as generated",'Cash Flow'!Y$186,-Y$193)</f>
        <v>0</v>
      </c>
      <c r="Z69" s="25">
        <f>IF(Inputs!$Q$108="as generated",'Cash Flow'!Z$186,-Z$193)</f>
        <v>0</v>
      </c>
      <c r="AA69" s="25">
        <f>IF(Inputs!$Q$108="as generated",'Cash Flow'!AA$186,-AA$193)</f>
        <v>0</v>
      </c>
      <c r="AB69" s="25">
        <f>IF(Inputs!$Q$108="as generated",'Cash Flow'!AB$186,-AB$193)</f>
        <v>0</v>
      </c>
      <c r="AC69" s="25">
        <f>IF(Inputs!$Q$108="as generated",'Cash Flow'!AC$186,-AC$193)</f>
        <v>0</v>
      </c>
      <c r="AD69" s="25">
        <f>IF(Inputs!$Q$108="as generated",'Cash Flow'!AD$186,-AD$193)</f>
        <v>0</v>
      </c>
      <c r="AE69" s="25">
        <f>IF(Inputs!$Q$108="as generated",'Cash Flow'!AE$186,-AE$193)</f>
        <v>0</v>
      </c>
      <c r="AF69" s="25">
        <f>IF(Inputs!$Q$108="as generated",'Cash Flow'!AF$186,-AF$193)</f>
        <v>0</v>
      </c>
      <c r="AG69" s="25">
        <f>IF(Inputs!$Q$108="as generated",'Cash Flow'!AG$186,-AG$193)</f>
        <v>0</v>
      </c>
      <c r="AH69" s="25">
        <f>IF(Inputs!$Q$108="as generated",'Cash Flow'!AH$186,-AH$193)</f>
        <v>0</v>
      </c>
      <c r="AI69" s="25">
        <f>IF(Inputs!$Q$108="as generated",'Cash Flow'!AI$186,-AI$193)</f>
        <v>0</v>
      </c>
      <c r="AJ69" s="25">
        <f>IF(Inputs!$Q$108="as generated",'Cash Flow'!AJ$186,-AJ$193)</f>
        <v>0</v>
      </c>
    </row>
    <row r="70" spans="2:36" s="11" customFormat="1" ht="16">
      <c r="B70" s="16" t="s">
        <v>124</v>
      </c>
      <c r="C70" s="16"/>
      <c r="D70" s="16"/>
      <c r="E70" s="35"/>
      <c r="F70" s="27">
        <f t="shared" ref="F70:AJ70" si="20">F57+SUM(F66:F69)</f>
        <v>-79810656.836137891</v>
      </c>
      <c r="G70" s="27">
        <f>G57+SUM(G66:G69)</f>
        <v>46187172.34542717</v>
      </c>
      <c r="H70" s="27">
        <f t="shared" si="20"/>
        <v>15273378.08652503</v>
      </c>
      <c r="I70" s="27">
        <f t="shared" si="20"/>
        <v>10795845.741395928</v>
      </c>
      <c r="J70" s="27">
        <f t="shared" si="20"/>
        <v>8249963.2902283659</v>
      </c>
      <c r="K70" s="27">
        <f t="shared" si="20"/>
        <v>8072036.2654162645</v>
      </c>
      <c r="L70" s="27">
        <f t="shared" si="20"/>
        <v>5968115.1777319191</v>
      </c>
      <c r="M70" s="27">
        <f t="shared" si="20"/>
        <v>3829175.774357995</v>
      </c>
      <c r="N70" s="27">
        <f t="shared" si="20"/>
        <v>3618206.2390732067</v>
      </c>
      <c r="O70" s="27">
        <f t="shared" si="20"/>
        <v>3399266.8941478608</v>
      </c>
      <c r="P70" s="27">
        <f t="shared" si="20"/>
        <v>3171703.0972775044</v>
      </c>
      <c r="Q70" s="27">
        <f t="shared" si="20"/>
        <v>2935071.7631381415</v>
      </c>
      <c r="R70" s="27">
        <f t="shared" si="20"/>
        <v>2610771.0871266015</v>
      </c>
      <c r="S70" s="27">
        <f t="shared" si="20"/>
        <v>2121545.9512940887</v>
      </c>
      <c r="T70" s="27">
        <f t="shared" si="20"/>
        <v>1631608.35168231</v>
      </c>
      <c r="U70" s="27">
        <f t="shared" si="20"/>
        <v>1140032.1715641264</v>
      </c>
      <c r="V70" s="27">
        <f t="shared" si="20"/>
        <v>11245357.126133956</v>
      </c>
      <c r="W70" s="27">
        <f t="shared" si="20"/>
        <v>7377385.2245230097</v>
      </c>
      <c r="X70" s="27">
        <f t="shared" si="20"/>
        <v>7088838.480923716</v>
      </c>
      <c r="Y70" s="27">
        <f t="shared" si="20"/>
        <v>6808888.8355814237</v>
      </c>
      <c r="Z70" s="27">
        <f t="shared" si="20"/>
        <v>7478786.7259345213</v>
      </c>
      <c r="AA70" s="27">
        <f t="shared" si="20"/>
        <v>190718.07201686961</v>
      </c>
      <c r="AB70" s="27">
        <f t="shared" si="20"/>
        <v>147800.71723162674</v>
      </c>
      <c r="AC70" s="27">
        <f t="shared" si="20"/>
        <v>122603.14027425591</v>
      </c>
      <c r="AD70" s="27">
        <f t="shared" si="20"/>
        <v>97205.763593370124</v>
      </c>
      <c r="AE70" s="27">
        <f t="shared" si="20"/>
        <v>2626473.2719706516</v>
      </c>
      <c r="AF70" s="27">
        <f t="shared" si="20"/>
        <v>0</v>
      </c>
      <c r="AG70" s="27">
        <f t="shared" si="20"/>
        <v>0</v>
      </c>
      <c r="AH70" s="27">
        <f t="shared" si="20"/>
        <v>0</v>
      </c>
      <c r="AI70" s="27">
        <f t="shared" si="20"/>
        <v>0</v>
      </c>
      <c r="AJ70" s="27">
        <f t="shared" si="20"/>
        <v>0</v>
      </c>
    </row>
    <row r="71" spans="2:36" s="11" customFormat="1" ht="17">
      <c r="B71" s="37" t="s">
        <v>123</v>
      </c>
      <c r="C71" s="37"/>
      <c r="D71" s="37"/>
      <c r="E71" s="35"/>
      <c r="F71" s="27"/>
      <c r="G71" s="318">
        <f>IF(ISERROR(IRR($F70:G70)),"NA",IRR($F70:G70))</f>
        <v>-0.42129066247060587</v>
      </c>
      <c r="H71" s="318">
        <f>IF(ISERROR(IRR($F70:H70)),"NA",IRR($F70:H70))</f>
        <v>-0.18614911265064804</v>
      </c>
      <c r="I71" s="318">
        <f>IF(ISERROR(IRR($F70:I70)),"NA",IRR($F70:I70))</f>
        <v>-6.2989715094042609E-2</v>
      </c>
      <c r="J71" s="318">
        <f>IF(ISERROR(IRR($F70:J70)),"NA",IRR($F70:J70))</f>
        <v>4.9358304362570049E-3</v>
      </c>
      <c r="K71" s="318">
        <f>IF(ISERROR(IRR($F70:K70)),"NA",IRR($F70:K70))</f>
        <v>5.3121141511872416E-2</v>
      </c>
      <c r="L71" s="318">
        <f>IF(ISERROR(IRR($F70:L70)),"NA",IRR($F70:L70))</f>
        <v>7.9606414507810586E-2</v>
      </c>
      <c r="M71" s="318">
        <f>IF(ISERROR(IRR($F70:M70)),"NA",IRR($F70:M70))</f>
        <v>9.3060164317027461E-2</v>
      </c>
      <c r="N71" s="318">
        <f>IF(ISERROR(IRR($F70:N70)),"NA",IRR($F70:N70))</f>
        <v>0.10344436209701935</v>
      </c>
      <c r="O71" s="318">
        <f>IF(ISERROR(IRR($F70:O70)),"NA",IRR($F70:O70))</f>
        <v>0.11143797047877513</v>
      </c>
      <c r="P71" s="318">
        <f>IF(ISERROR(IRR($F70:P70)),"NA",IRR($F70:P70))</f>
        <v>0.11758415504127773</v>
      </c>
      <c r="Q71" s="318">
        <f>IF(ISERROR(IRR($F70:Q70)),"NA",IRR($F70:Q70))</f>
        <v>0.12230330240683074</v>
      </c>
      <c r="R71" s="318">
        <f>IF(ISERROR(IRR($F70:R70)),"NA",IRR($F70:R70))</f>
        <v>0.12581434503419664</v>
      </c>
      <c r="S71" s="318">
        <f>IF(ISERROR(IRR($F70:S70)),"NA",IRR($F70:S70))</f>
        <v>0.12822528248063336</v>
      </c>
      <c r="T71" s="318">
        <f>IF(ISERROR(IRR($F70:T70)),"NA",IRR($F70:T70))</f>
        <v>0.12980944487308799</v>
      </c>
      <c r="U71" s="318">
        <f>IF(ISERROR(IRR($F70:U70)),"NA",IRR($F70:U70))</f>
        <v>0.13076463428295404</v>
      </c>
      <c r="V71" s="318">
        <f>IF(ISERROR(IRR($F70:V70)),"NA",IRR($F70:V70))</f>
        <v>0.13833544108065965</v>
      </c>
      <c r="W71" s="318">
        <f>IF(ISERROR(IRR($F70:W70)),"NA",IRR($F70:W70))</f>
        <v>0.14217697691680664</v>
      </c>
      <c r="X71" s="318">
        <f>IF(ISERROR(IRR($F70:X70)),"NA",IRR($F70:X70))</f>
        <v>0.14515766857686718</v>
      </c>
      <c r="Y71" s="318">
        <f>IF(ISERROR(IRR($F70:Y70)),"NA",IRR($F70:Y70))</f>
        <v>0.14749678730623761</v>
      </c>
      <c r="Z71" s="318">
        <f>IF(ISERROR(IRR($F70:Z70)),"NA",IRR($F70:Z70))</f>
        <v>0.1496078751322043</v>
      </c>
      <c r="AA71" s="318">
        <f>IF(ISERROR(IRR($F70:AA70)),"NA",IRR($F70:AA70))</f>
        <v>0.14965336028922871</v>
      </c>
      <c r="AB71" s="318">
        <f>IF(ISERROR(IRR($F70:AB70)),"NA",IRR($F70:AB70))</f>
        <v>0.14968398707852537</v>
      </c>
      <c r="AC71" s="318">
        <f>IF(ISERROR(IRR($F70:AC70)),"NA",IRR($F70:AC70))</f>
        <v>0.14970606668497632</v>
      </c>
      <c r="AD71" s="318">
        <f>IF(ISERROR(IRR($F70:AD70)),"NA",IRR($F70:AD70))</f>
        <v>0.14972128367018578</v>
      </c>
      <c r="AE71" s="318">
        <f>IF(ISERROR(IRR($F70:AE70)),"NA",IRR($F70:AE70))</f>
        <v>0.15007655077733828</v>
      </c>
      <c r="AF71" s="318">
        <f>IF(ISERROR(IRR($F70:AF70)),"NA",IRR($F70:AF70))</f>
        <v>0.15007655077733828</v>
      </c>
      <c r="AG71" s="318">
        <f>IF(ISERROR(IRR($F70:AG70)),"NA",IRR($F70:AG70))</f>
        <v>0.15007655077733828</v>
      </c>
      <c r="AH71" s="318">
        <f>IF(ISERROR(IRR($F70:AH70)),"NA",IRR($F70:AH70))</f>
        <v>0.15007655077733828</v>
      </c>
      <c r="AI71" s="318">
        <f>IF(ISERROR(IRR($F70:AI70)),"NA",IRR($F70:AI70))</f>
        <v>0.15007655077733828</v>
      </c>
      <c r="AJ71" s="318">
        <f>IF(ISERROR(IRR($F70:AJ70)),"NA",IRR($F70:AJ70))</f>
        <v>0.15007655077733828</v>
      </c>
    </row>
    <row r="72" spans="2:36" s="11" customFormat="1" ht="17" thickBot="1">
      <c r="B72" s="16"/>
      <c r="C72" s="16"/>
      <c r="D72" s="16"/>
      <c r="E72" s="39"/>
      <c r="F72" s="331"/>
      <c r="G72" s="331"/>
      <c r="H72" s="331"/>
      <c r="I72" s="331"/>
      <c r="J72" s="331"/>
      <c r="K72" s="331"/>
      <c r="L72" s="331"/>
      <c r="M72" s="331"/>
      <c r="N72" s="27"/>
      <c r="O72" s="27"/>
      <c r="P72" s="27"/>
      <c r="Q72" s="27"/>
      <c r="R72" s="27"/>
      <c r="S72" s="27"/>
      <c r="T72" s="27"/>
      <c r="U72" s="27"/>
      <c r="V72" s="27"/>
      <c r="W72" s="27"/>
      <c r="X72" s="27"/>
      <c r="Y72" s="27"/>
      <c r="Z72" s="27"/>
      <c r="AA72" s="27"/>
      <c r="AB72" s="27"/>
      <c r="AC72" s="27"/>
      <c r="AD72" s="27"/>
      <c r="AE72" s="27"/>
      <c r="AF72" s="27"/>
      <c r="AG72" s="27"/>
      <c r="AH72" s="27"/>
      <c r="AI72" s="27"/>
      <c r="AJ72" s="27"/>
    </row>
    <row r="73" spans="2:36" s="11" customFormat="1" ht="17" thickBot="1">
      <c r="B73" s="912" t="s">
        <v>358</v>
      </c>
      <c r="C73" s="913"/>
      <c r="D73" s="300">
        <f>IRR(F57:AJ57)</f>
        <v>8.9187281783869476E-2</v>
      </c>
      <c r="F73" s="27"/>
      <c r="G73" s="379" t="s">
        <v>154</v>
      </c>
      <c r="H73" s="388"/>
      <c r="I73" s="388"/>
      <c r="J73" s="389"/>
      <c r="K73" s="388"/>
      <c r="L73" s="27"/>
      <c r="O73" s="27"/>
      <c r="P73" s="27"/>
      <c r="Q73" s="27"/>
      <c r="R73" s="27"/>
      <c r="S73" s="27"/>
      <c r="T73" s="27"/>
      <c r="U73" s="27"/>
      <c r="V73" s="27"/>
      <c r="W73" s="27"/>
      <c r="X73" s="27"/>
      <c r="Y73" s="27"/>
      <c r="Z73" s="27"/>
      <c r="AA73" s="27"/>
      <c r="AB73" s="27"/>
      <c r="AC73" s="27"/>
      <c r="AD73" s="27"/>
      <c r="AE73" s="27"/>
      <c r="AF73" s="27"/>
      <c r="AG73" s="27"/>
      <c r="AH73" s="27"/>
      <c r="AI73" s="27"/>
      <c r="AJ73" s="27"/>
    </row>
    <row r="74" spans="2:36" s="11" customFormat="1" ht="17" thickBot="1">
      <c r="B74" s="912" t="s">
        <v>359</v>
      </c>
      <c r="C74" s="913"/>
      <c r="D74" s="300">
        <f>IRR(F70:AJ70)</f>
        <v>0.15007655077733828</v>
      </c>
      <c r="F74" s="27"/>
      <c r="G74" s="381" t="s">
        <v>243</v>
      </c>
      <c r="H74" s="390"/>
      <c r="I74" s="386"/>
      <c r="J74" s="387"/>
      <c r="K74" s="387"/>
      <c r="L74" s="27"/>
      <c r="O74" s="27"/>
      <c r="P74" s="27"/>
      <c r="Q74" s="27"/>
      <c r="R74" s="27"/>
      <c r="S74" s="27"/>
      <c r="T74" s="27"/>
      <c r="U74" s="27"/>
      <c r="V74" s="27"/>
      <c r="W74" s="27"/>
      <c r="X74" s="27"/>
      <c r="Y74" s="27"/>
      <c r="Z74" s="27"/>
      <c r="AA74" s="27"/>
      <c r="AB74" s="27"/>
      <c r="AC74" s="27"/>
      <c r="AD74" s="27"/>
      <c r="AE74" s="27"/>
      <c r="AF74" s="27"/>
      <c r="AG74" s="27"/>
      <c r="AH74" s="27"/>
      <c r="AI74" s="27"/>
      <c r="AJ74" s="27"/>
    </row>
    <row r="75" spans="2:36" s="11" customFormat="1" ht="17" thickBot="1">
      <c r="B75" s="914">
        <f>Inputs!$G$90</f>
        <v>0.15</v>
      </c>
      <c r="C75" s="915"/>
      <c r="D75" s="217">
        <f>NPV(Inputs!$G$90,'Cash Flow'!F70:AJ70)</f>
        <v>15023.611258697145</v>
      </c>
      <c r="G75" s="380">
        <f>AVERAGE(R247:S247)</f>
        <v>18.550000000000008</v>
      </c>
      <c r="H75" s="390"/>
      <c r="I75" s="386"/>
      <c r="J75" s="391"/>
      <c r="K75" s="386"/>
    </row>
    <row r="76" spans="2:36" s="11" customFormat="1" ht="17" thickBot="1">
      <c r="B76" s="40"/>
      <c r="C76" s="40"/>
      <c r="D76" s="40"/>
      <c r="E76" s="41"/>
      <c r="F76" s="315"/>
      <c r="G76" s="301"/>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row>
    <row r="77" spans="2:36" s="11" customFormat="1" ht="16">
      <c r="B77" s="42"/>
      <c r="C77" s="42"/>
      <c r="D77" s="42"/>
      <c r="E77" s="43"/>
      <c r="F77" s="43"/>
      <c r="G77" s="44"/>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2:36" s="11" customFormat="1" ht="16">
      <c r="B78" s="45" t="s">
        <v>69</v>
      </c>
      <c r="C78" s="45"/>
      <c r="D78" s="45"/>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row>
    <row r="79" spans="2:36" s="11" customFormat="1" ht="17" thickBot="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2:36" s="11" customFormat="1" ht="16">
      <c r="B80" s="230"/>
      <c r="C80" s="230"/>
      <c r="D80" s="230"/>
      <c r="E80" s="230"/>
      <c r="F80" s="245"/>
      <c r="G80" s="255"/>
      <c r="H80" s="256"/>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row>
    <row r="81" spans="2:36" s="11" customFormat="1" ht="16">
      <c r="B81" s="229" t="s">
        <v>75</v>
      </c>
      <c r="C81" s="229"/>
      <c r="D81" s="229"/>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row>
    <row r="82" spans="2:36" s="11" customFormat="1" ht="16">
      <c r="B82" s="257" t="s">
        <v>77</v>
      </c>
      <c r="C82" s="257"/>
      <c r="D82" s="257"/>
      <c r="E82" s="258"/>
      <c r="F82" s="259"/>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row>
    <row r="83" spans="2:36" s="11" customFormat="1" ht="16">
      <c r="B83" s="258" t="s">
        <v>78</v>
      </c>
      <c r="C83" s="258"/>
      <c r="D83" s="258"/>
      <c r="E83" s="258"/>
      <c r="F83" s="259">
        <f>IF(Inputs!$G$20="Simple",Inputs!$G$75-Inputs!$G$106,IF(Inputs!$G$20="Intermediate",Inputs!G32+Inputs!G49+Inputs!G64+Inputs!G65+Inputs!G67-Inputs!G106,Inputs!G32+'Complex Inputs'!C48+'Complex Inputs'!C73+'Complex Inputs'!C99))</f>
        <v>129062243.453125</v>
      </c>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row>
    <row r="84" spans="2:36" s="11" customFormat="1" ht="16">
      <c r="B84" s="258" t="s">
        <v>79</v>
      </c>
      <c r="C84" s="258"/>
      <c r="D84" s="258"/>
      <c r="E84" s="258"/>
      <c r="F84" s="261">
        <f>Inputs!$G$79</f>
        <v>0.5</v>
      </c>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row>
    <row r="85" spans="2:36" s="11" customFormat="1" ht="16">
      <c r="B85" s="258" t="s">
        <v>76</v>
      </c>
      <c r="C85" s="258"/>
      <c r="D85" s="258"/>
      <c r="E85" s="258"/>
      <c r="F85" s="262">
        <f>F83*F84</f>
        <v>64531121.7265625</v>
      </c>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row>
    <row r="86" spans="2:36" s="11" customFormat="1" ht="16">
      <c r="B86" s="263"/>
      <c r="C86" s="263"/>
      <c r="D86" s="263"/>
      <c r="E86" s="263"/>
      <c r="F86" s="264"/>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row>
    <row r="87" spans="2:36" s="11" customFormat="1" ht="16">
      <c r="B87" s="257" t="s">
        <v>110</v>
      </c>
      <c r="C87" s="257"/>
      <c r="D87" s="257"/>
      <c r="E87" s="257"/>
      <c r="F87" s="264"/>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row>
    <row r="88" spans="2:36" s="11" customFormat="1" ht="16">
      <c r="B88" s="265" t="s">
        <v>85</v>
      </c>
      <c r="C88" s="265"/>
      <c r="D88" s="265"/>
      <c r="E88" s="265"/>
      <c r="F88" s="266">
        <v>0</v>
      </c>
      <c r="G88" s="267">
        <f>SUM(G89:G90)</f>
        <v>-7085170.2915028986</v>
      </c>
      <c r="H88" s="267">
        <f t="shared" ref="H88:AJ88" si="21">SUM(H89:H90)</f>
        <v>-7085170.2915028995</v>
      </c>
      <c r="I88" s="267">
        <f t="shared" si="21"/>
        <v>-7085170.2915028986</v>
      </c>
      <c r="J88" s="267">
        <f t="shared" si="21"/>
        <v>-7085170.2915028995</v>
      </c>
      <c r="K88" s="267">
        <f t="shared" si="21"/>
        <v>-7085170.2915028995</v>
      </c>
      <c r="L88" s="267">
        <f t="shared" si="21"/>
        <v>-7085170.2915028986</v>
      </c>
      <c r="M88" s="267">
        <f t="shared" si="21"/>
        <v>-7085170.2915028995</v>
      </c>
      <c r="N88" s="267">
        <f t="shared" si="21"/>
        <v>-7085170.2915029004</v>
      </c>
      <c r="O88" s="267">
        <f t="shared" si="21"/>
        <v>-7085170.2915029004</v>
      </c>
      <c r="P88" s="267">
        <f t="shared" si="21"/>
        <v>-7085170.2915029004</v>
      </c>
      <c r="Q88" s="267">
        <f t="shared" si="21"/>
        <v>-7085170.2915028995</v>
      </c>
      <c r="R88" s="267">
        <f t="shared" si="21"/>
        <v>-7085170.2915028995</v>
      </c>
      <c r="S88" s="267">
        <f t="shared" si="21"/>
        <v>-7085170.2915029004</v>
      </c>
      <c r="T88" s="267">
        <f t="shared" si="21"/>
        <v>-7085170.2915029004</v>
      </c>
      <c r="U88" s="267">
        <f t="shared" si="21"/>
        <v>-7085170.2915028995</v>
      </c>
      <c r="V88" s="267">
        <f t="shared" si="21"/>
        <v>0</v>
      </c>
      <c r="W88" s="267">
        <f t="shared" si="21"/>
        <v>0</v>
      </c>
      <c r="X88" s="267">
        <f t="shared" si="21"/>
        <v>0</v>
      </c>
      <c r="Y88" s="267">
        <f t="shared" si="21"/>
        <v>0</v>
      </c>
      <c r="Z88" s="267">
        <f t="shared" si="21"/>
        <v>0</v>
      </c>
      <c r="AA88" s="267">
        <f t="shared" si="21"/>
        <v>0</v>
      </c>
      <c r="AB88" s="267">
        <f t="shared" si="21"/>
        <v>0</v>
      </c>
      <c r="AC88" s="267">
        <f t="shared" si="21"/>
        <v>0</v>
      </c>
      <c r="AD88" s="267">
        <f t="shared" si="21"/>
        <v>0</v>
      </c>
      <c r="AE88" s="267">
        <f t="shared" si="21"/>
        <v>0</v>
      </c>
      <c r="AF88" s="267">
        <f t="shared" si="21"/>
        <v>0</v>
      </c>
      <c r="AG88" s="267">
        <f t="shared" si="21"/>
        <v>0</v>
      </c>
      <c r="AH88" s="267">
        <f t="shared" si="21"/>
        <v>0</v>
      </c>
      <c r="AI88" s="267">
        <f t="shared" si="21"/>
        <v>0</v>
      </c>
      <c r="AJ88" s="267">
        <f t="shared" si="21"/>
        <v>0</v>
      </c>
    </row>
    <row r="89" spans="2:36" s="20" customFormat="1" ht="16">
      <c r="B89" s="268" t="s">
        <v>83</v>
      </c>
      <c r="C89" s="268"/>
      <c r="D89" s="268"/>
      <c r="E89" s="268"/>
      <c r="F89" s="266">
        <v>0</v>
      </c>
      <c r="G89" s="267">
        <f>IF(G$2&gt;Inputs!$G$80,0,IPMT(Inputs!$G$81,G$2,Inputs!$G$80,$F$85))</f>
        <v>-4517178.5208593756</v>
      </c>
      <c r="H89" s="267">
        <f>IF(H$2&gt;Inputs!$G$80,0,IPMT(Inputs!$G$81,H$2,Inputs!$G$80,$F$85))</f>
        <v>-4337419.0969143296</v>
      </c>
      <c r="I89" s="267">
        <f>IF(I$2&gt;Inputs!$G$80,0,IPMT(Inputs!$G$81,I$2,Inputs!$G$80,$F$85))</f>
        <v>-4145076.5132931289</v>
      </c>
      <c r="J89" s="267">
        <f>IF(J$2&gt;Inputs!$G$80,0,IPMT(Inputs!$G$81,J$2,Inputs!$G$80,$F$85))</f>
        <v>-3939269.9488184457</v>
      </c>
      <c r="K89" s="267">
        <f>IF(K$2&gt;Inputs!$G$80,0,IPMT(Inputs!$G$81,K$2,Inputs!$G$80,$F$85))</f>
        <v>-3719056.9248305336</v>
      </c>
      <c r="L89" s="267">
        <f>IF(L$2&gt;Inputs!$G$80,0,IPMT(Inputs!$G$81,L$2,Inputs!$G$80,$F$85))</f>
        <v>-3483428.9891634677</v>
      </c>
      <c r="M89" s="267">
        <f>IF(M$2&gt;Inputs!$G$80,0,IPMT(Inputs!$G$81,M$2,Inputs!$G$80,$F$85))</f>
        <v>-3231307.0979997083</v>
      </c>
      <c r="N89" s="267">
        <f>IF(N$2&gt;Inputs!$G$80,0,IPMT(Inputs!$G$81,N$2,Inputs!$G$80,$F$85))</f>
        <v>-2961536.6744544846</v>
      </c>
      <c r="O89" s="267">
        <f>IF(O$2&gt;Inputs!$G$80,0,IPMT(Inputs!$G$81,O$2,Inputs!$G$80,$F$85))</f>
        <v>-2672882.3212610953</v>
      </c>
      <c r="P89" s="267">
        <f>IF(P$2&gt;Inputs!$G$80,0,IPMT(Inputs!$G$81,P$2,Inputs!$G$80,$F$85))</f>
        <v>-2364022.1633441695</v>
      </c>
      <c r="Q89" s="267">
        <f>IF(Q$2&gt;Inputs!$G$80,0,IPMT(Inputs!$G$81,Q$2,Inputs!$G$80,$F$85))</f>
        <v>-2033541.7943730578</v>
      </c>
      <c r="R89" s="267">
        <f>IF(R$2&gt;Inputs!$G$80,0,IPMT(Inputs!$G$81,R$2,Inputs!$G$80,$F$85))</f>
        <v>-1679927.7995739689</v>
      </c>
      <c r="S89" s="267">
        <f>IF(S$2&gt;Inputs!$G$80,0,IPMT(Inputs!$G$81,S$2,Inputs!$G$80,$F$85))</f>
        <v>-1301560.8251389437</v>
      </c>
      <c r="T89" s="267">
        <f>IF(T$2&gt;Inputs!$G$80,0,IPMT(Inputs!$G$81,T$2,Inputs!$G$80,$F$85))</f>
        <v>-896708.16249346698</v>
      </c>
      <c r="U89" s="267">
        <f>IF(U$2&gt;Inputs!$G$80,0,IPMT(Inputs!$G$81,U$2,Inputs!$G$80,$F$85))</f>
        <v>-463515.81346280657</v>
      </c>
      <c r="V89" s="267">
        <f>IF(V$2&gt;Inputs!$G$80,0,IPMT(Inputs!$G$81,V$2,Inputs!$G$80,$F$85))</f>
        <v>0</v>
      </c>
      <c r="W89" s="267">
        <f>IF(W$2&gt;Inputs!$G$80,0,IPMT(Inputs!$G$81,W$2,Inputs!$G$80,$F$85))</f>
        <v>0</v>
      </c>
      <c r="X89" s="267">
        <f>IF(X$2&gt;Inputs!$G$80,0,IPMT(Inputs!$G$81,X$2,Inputs!$G$80,$F$85))</f>
        <v>0</v>
      </c>
      <c r="Y89" s="267">
        <f>IF(Y$2&gt;Inputs!$G$80,0,IPMT(Inputs!$G$81,Y$2,Inputs!$G$80,$F$85))</f>
        <v>0</v>
      </c>
      <c r="Z89" s="267">
        <f>IF(Z$2&gt;Inputs!$G$80,0,IPMT(Inputs!$G$81,Z$2,Inputs!$G$80,$F$85))</f>
        <v>0</v>
      </c>
      <c r="AA89" s="267">
        <f>IF(AA$2&gt;Inputs!$G$80,0,IPMT(Inputs!$G$81,AA$2,Inputs!$G$80,$F$85))</f>
        <v>0</v>
      </c>
      <c r="AB89" s="267">
        <f>IF(AB$2&gt;Inputs!$G$80,0,IPMT(Inputs!$G$81,AB$2,Inputs!$G$80,$F$85))</f>
        <v>0</v>
      </c>
      <c r="AC89" s="267">
        <f>IF(AC$2&gt;Inputs!$G$80,0,IPMT(Inputs!$G$81,AC$2,Inputs!$G$80,$F$85))</f>
        <v>0</v>
      </c>
      <c r="AD89" s="267">
        <f>IF(AD$2&gt;Inputs!$G$80,0,IPMT(Inputs!$G$81,AD$2,Inputs!$G$80,$F$85))</f>
        <v>0</v>
      </c>
      <c r="AE89" s="267">
        <f>IF(AE$2&gt;Inputs!$G$80,0,IPMT(Inputs!$G$81,AE$2,Inputs!$G$80,$F$85))</f>
        <v>0</v>
      </c>
      <c r="AF89" s="267">
        <f>IF(AF$2&gt;Inputs!$G$80,0,IPMT(Inputs!$G$81,AF$2,Inputs!$G$80,$F$85))</f>
        <v>0</v>
      </c>
      <c r="AG89" s="267">
        <f>IF(AG$2&gt;Inputs!$G$80,0,IPMT(Inputs!$G$81,AG$2,Inputs!$G$80,$F$85))</f>
        <v>0</v>
      </c>
      <c r="AH89" s="267">
        <f>IF(AH$2&gt;Inputs!$G$80,0,IPMT(Inputs!$G$81,AH$2,Inputs!$G$80,$F$85))</f>
        <v>0</v>
      </c>
      <c r="AI89" s="267">
        <f>IF(AI$2&gt;Inputs!$G$80,0,IPMT(Inputs!$G$81,AI$2,Inputs!$G$80,$F$85))</f>
        <v>0</v>
      </c>
      <c r="AJ89" s="267">
        <f>IF(AJ$2&gt;Inputs!$G$80,0,IPMT(Inputs!$G$81,AJ$2,Inputs!$G$80,$F$85))</f>
        <v>0</v>
      </c>
    </row>
    <row r="90" spans="2:36" s="11" customFormat="1" ht="16">
      <c r="B90" s="265" t="s">
        <v>84</v>
      </c>
      <c r="C90" s="265"/>
      <c r="D90" s="265"/>
      <c r="E90" s="265"/>
      <c r="F90" s="269">
        <f>MIN(MAX(0,F88-F89),F$93)</f>
        <v>0</v>
      </c>
      <c r="G90" s="267">
        <f>IF(G$2&gt;Inputs!$G$80,0,PPMT(Inputs!$G$81,G$2,Inputs!$G$80,$F$85))</f>
        <v>-2567991.7706435234</v>
      </c>
      <c r="H90" s="267">
        <f>IF(H$2&gt;Inputs!$G$80,0,PPMT(Inputs!$G$81,H$2,Inputs!$G$80,$F$85))</f>
        <v>-2747751.1945885699</v>
      </c>
      <c r="I90" s="267">
        <f>IF(I$2&gt;Inputs!$G$80,0,PPMT(Inputs!$G$81,I$2,Inputs!$G$80,$F$85))</f>
        <v>-2940093.7782097701</v>
      </c>
      <c r="J90" s="267">
        <f>IF(J$2&gt;Inputs!$G$80,0,PPMT(Inputs!$G$81,J$2,Inputs!$G$80,$F$85))</f>
        <v>-3145900.3426844538</v>
      </c>
      <c r="K90" s="267">
        <f>IF(K$2&gt;Inputs!$G$80,0,PPMT(Inputs!$G$81,K$2,Inputs!$G$80,$F$85))</f>
        <v>-3366113.3666723659</v>
      </c>
      <c r="L90" s="267">
        <f>IF(L$2&gt;Inputs!$G$80,0,PPMT(Inputs!$G$81,L$2,Inputs!$G$80,$F$85))</f>
        <v>-3601741.3023394314</v>
      </c>
      <c r="M90" s="267">
        <f>IF(M$2&gt;Inputs!$G$80,0,PPMT(Inputs!$G$81,M$2,Inputs!$G$80,$F$85))</f>
        <v>-3853863.1935031912</v>
      </c>
      <c r="N90" s="267">
        <f>IF(N$2&gt;Inputs!$G$80,0,PPMT(Inputs!$G$81,N$2,Inputs!$G$80,$F$85))</f>
        <v>-4123633.6170484154</v>
      </c>
      <c r="O90" s="267">
        <f>IF(O$2&gt;Inputs!$G$80,0,PPMT(Inputs!$G$81,O$2,Inputs!$G$80,$F$85))</f>
        <v>-4412287.9702418046</v>
      </c>
      <c r="P90" s="267">
        <f>IF(P$2&gt;Inputs!$G$80,0,PPMT(Inputs!$G$81,P$2,Inputs!$G$80,$F$85))</f>
        <v>-4721148.1281587305</v>
      </c>
      <c r="Q90" s="267">
        <f>IF(Q$2&gt;Inputs!$G$80,0,PPMT(Inputs!$G$81,Q$2,Inputs!$G$80,$F$85))</f>
        <v>-5051628.4971298417</v>
      </c>
      <c r="R90" s="267">
        <f>IF(R$2&gt;Inputs!$G$80,0,PPMT(Inputs!$G$81,R$2,Inputs!$G$80,$F$85))</f>
        <v>-5405242.4919289304</v>
      </c>
      <c r="S90" s="267">
        <f>IF(S$2&gt;Inputs!$G$80,0,PPMT(Inputs!$G$81,S$2,Inputs!$G$80,$F$85))</f>
        <v>-5783609.4663639562</v>
      </c>
      <c r="T90" s="267">
        <f>IF(T$2&gt;Inputs!$G$80,0,PPMT(Inputs!$G$81,T$2,Inputs!$G$80,$F$85))</f>
        <v>-6188462.1290094331</v>
      </c>
      <c r="U90" s="267">
        <f>IF(U$2&gt;Inputs!$G$80,0,PPMT(Inputs!$G$81,U$2,Inputs!$G$80,$F$85))</f>
        <v>-6621654.4780400926</v>
      </c>
      <c r="V90" s="267">
        <f>IF(V$2&gt;Inputs!$G$80,0,PPMT(Inputs!$G$81,V$2,Inputs!$G$80,$F$85))</f>
        <v>0</v>
      </c>
      <c r="W90" s="267">
        <f>IF(W$2&gt;Inputs!$G$80,0,PPMT(Inputs!$G$81,W$2,Inputs!$G$80,$F$85))</f>
        <v>0</v>
      </c>
      <c r="X90" s="267">
        <f>IF(X$2&gt;Inputs!$G$80,0,PPMT(Inputs!$G$81,X$2,Inputs!$G$80,$F$85))</f>
        <v>0</v>
      </c>
      <c r="Y90" s="267">
        <f>IF(Y$2&gt;Inputs!$G$80,0,PPMT(Inputs!$G$81,Y$2,Inputs!$G$80,$F$85))</f>
        <v>0</v>
      </c>
      <c r="Z90" s="267">
        <f>IF(Z$2&gt;Inputs!$G$80,0,PPMT(Inputs!$G$81,Z$2,Inputs!$G$80,$F$85))</f>
        <v>0</v>
      </c>
      <c r="AA90" s="267">
        <f>IF(AA$2&gt;Inputs!$G$80,0,PPMT(Inputs!$G$81,AA$2,Inputs!$G$80,$F$85))</f>
        <v>0</v>
      </c>
      <c r="AB90" s="267">
        <f>IF(AB$2&gt;Inputs!$G$80,0,PPMT(Inputs!$G$81,AB$2,Inputs!$G$80,$F$85))</f>
        <v>0</v>
      </c>
      <c r="AC90" s="267">
        <f>IF(AC$2&gt;Inputs!$G$80,0,PPMT(Inputs!$G$81,AC$2,Inputs!$G$80,$F$85))</f>
        <v>0</v>
      </c>
      <c r="AD90" s="267">
        <f>IF(AD$2&gt;Inputs!$G$80,0,PPMT(Inputs!$G$81,AD$2,Inputs!$G$80,$F$85))</f>
        <v>0</v>
      </c>
      <c r="AE90" s="267">
        <f>IF(AE$2&gt;Inputs!$G$80,0,PPMT(Inputs!$G$81,AE$2,Inputs!$G$80,$F$85))</f>
        <v>0</v>
      </c>
      <c r="AF90" s="267">
        <f>IF(AF$2&gt;Inputs!$G$80,0,PPMT(Inputs!$G$81,AF$2,Inputs!$G$80,$F$85))</f>
        <v>0</v>
      </c>
      <c r="AG90" s="267">
        <f>IF(AG$2&gt;Inputs!$G$80,0,PPMT(Inputs!$G$81,AG$2,Inputs!$G$80,$F$85))</f>
        <v>0</v>
      </c>
      <c r="AH90" s="267">
        <f>IF(AH$2&gt;Inputs!$G$80,0,PPMT(Inputs!$G$81,AH$2,Inputs!$G$80,$F$85))</f>
        <v>0</v>
      </c>
      <c r="AI90" s="267">
        <f>IF(AI$2&gt;Inputs!$G$80,0,PPMT(Inputs!$G$81,AI$2,Inputs!$G$80,$F$85))</f>
        <v>0</v>
      </c>
      <c r="AJ90" s="267">
        <f>IF(AJ$2&gt;Inputs!$G$80,0,PPMT(Inputs!$G$81,AJ$2,Inputs!$G$80,$F$85))</f>
        <v>0</v>
      </c>
    </row>
    <row r="91" spans="2:36" s="11" customFormat="1" ht="16">
      <c r="B91" s="257"/>
      <c r="C91" s="257"/>
      <c r="D91" s="257"/>
      <c r="E91" s="257"/>
      <c r="F91" s="264"/>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row>
    <row r="92" spans="2:36" s="11" customFormat="1" ht="16">
      <c r="B92" s="257" t="s">
        <v>109</v>
      </c>
      <c r="C92" s="257"/>
      <c r="D92" s="257"/>
      <c r="E92" s="258"/>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row>
    <row r="93" spans="2:36" s="11" customFormat="1" ht="16">
      <c r="B93" s="265" t="s">
        <v>80</v>
      </c>
      <c r="C93" s="265"/>
      <c r="D93" s="265"/>
      <c r="E93" s="265"/>
      <c r="F93" s="271">
        <v>0</v>
      </c>
      <c r="G93" s="269">
        <f t="shared" ref="G93:AJ93" si="22">F96</f>
        <v>64531121.7265625</v>
      </c>
      <c r="H93" s="269">
        <f t="shared" si="22"/>
        <v>61963129.955918975</v>
      </c>
      <c r="I93" s="269">
        <f t="shared" si="22"/>
        <v>59215378.761330403</v>
      </c>
      <c r="J93" s="269">
        <f t="shared" si="22"/>
        <v>56275284.983120635</v>
      </c>
      <c r="K93" s="269">
        <f t="shared" si="22"/>
        <v>53129384.64043618</v>
      </c>
      <c r="L93" s="269">
        <f t="shared" si="22"/>
        <v>49763271.273763813</v>
      </c>
      <c r="M93" s="269">
        <f t="shared" si="22"/>
        <v>46161529.971424378</v>
      </c>
      <c r="N93" s="269">
        <f t="shared" si="22"/>
        <v>42307666.777921185</v>
      </c>
      <c r="O93" s="269">
        <f t="shared" si="22"/>
        <v>38184033.160872772</v>
      </c>
      <c r="P93" s="269">
        <f t="shared" si="22"/>
        <v>33771745.190630965</v>
      </c>
      <c r="Q93" s="269">
        <f t="shared" si="22"/>
        <v>29050597.062472235</v>
      </c>
      <c r="R93" s="269">
        <f t="shared" si="22"/>
        <v>23998968.565342393</v>
      </c>
      <c r="S93" s="269">
        <f t="shared" si="22"/>
        <v>18593726.073413461</v>
      </c>
      <c r="T93" s="269">
        <f t="shared" si="22"/>
        <v>12810116.607049506</v>
      </c>
      <c r="U93" s="269">
        <f t="shared" si="22"/>
        <v>6621654.4780400731</v>
      </c>
      <c r="V93" s="269">
        <f t="shared" si="22"/>
        <v>-1.9557774066925049E-8</v>
      </c>
      <c r="W93" s="269">
        <f t="shared" si="22"/>
        <v>-1.9557774066925049E-8</v>
      </c>
      <c r="X93" s="269">
        <f t="shared" si="22"/>
        <v>-1.9557774066925049E-8</v>
      </c>
      <c r="Y93" s="269">
        <f t="shared" si="22"/>
        <v>-1.9557774066925049E-8</v>
      </c>
      <c r="Z93" s="269">
        <f t="shared" si="22"/>
        <v>-1.9557774066925049E-8</v>
      </c>
      <c r="AA93" s="269">
        <f t="shared" si="22"/>
        <v>-1.9557774066925049E-8</v>
      </c>
      <c r="AB93" s="269">
        <f t="shared" si="22"/>
        <v>-1.9557774066925049E-8</v>
      </c>
      <c r="AC93" s="269">
        <f t="shared" si="22"/>
        <v>-1.9557774066925049E-8</v>
      </c>
      <c r="AD93" s="269">
        <f t="shared" si="22"/>
        <v>-1.9557774066925049E-8</v>
      </c>
      <c r="AE93" s="269">
        <f t="shared" si="22"/>
        <v>-1.9557774066925049E-8</v>
      </c>
      <c r="AF93" s="269">
        <f t="shared" si="22"/>
        <v>-1.9557774066925049E-8</v>
      </c>
      <c r="AG93" s="269">
        <f t="shared" si="22"/>
        <v>-1.9557774066925049E-8</v>
      </c>
      <c r="AH93" s="269">
        <f t="shared" si="22"/>
        <v>-1.9557774066925049E-8</v>
      </c>
      <c r="AI93" s="269">
        <f t="shared" si="22"/>
        <v>-1.9557774066925049E-8</v>
      </c>
      <c r="AJ93" s="269">
        <f t="shared" si="22"/>
        <v>-1.9557774066925049E-8</v>
      </c>
    </row>
    <row r="94" spans="2:36" s="11" customFormat="1" ht="16">
      <c r="B94" s="265" t="s">
        <v>81</v>
      </c>
      <c r="C94" s="265"/>
      <c r="D94" s="265"/>
      <c r="E94" s="265"/>
      <c r="F94" s="269">
        <f>$F$85</f>
        <v>64531121.7265625</v>
      </c>
      <c r="G94" s="271">
        <v>0</v>
      </c>
      <c r="H94" s="271">
        <v>0</v>
      </c>
      <c r="I94" s="271">
        <v>0</v>
      </c>
      <c r="J94" s="271">
        <v>0</v>
      </c>
      <c r="K94" s="271">
        <v>0</v>
      </c>
      <c r="L94" s="271">
        <v>0</v>
      </c>
      <c r="M94" s="271">
        <v>0</v>
      </c>
      <c r="N94" s="271">
        <v>0</v>
      </c>
      <c r="O94" s="271">
        <v>0</v>
      </c>
      <c r="P94" s="271">
        <v>0</v>
      </c>
      <c r="Q94" s="271">
        <v>0</v>
      </c>
      <c r="R94" s="271">
        <v>0</v>
      </c>
      <c r="S94" s="271">
        <v>0</v>
      </c>
      <c r="T94" s="271">
        <v>0</v>
      </c>
      <c r="U94" s="271">
        <v>0</v>
      </c>
      <c r="V94" s="271">
        <v>0</v>
      </c>
      <c r="W94" s="271">
        <v>0</v>
      </c>
      <c r="X94" s="271">
        <v>0</v>
      </c>
      <c r="Y94" s="271">
        <v>0</v>
      </c>
      <c r="Z94" s="271">
        <v>0</v>
      </c>
      <c r="AA94" s="271">
        <v>0</v>
      </c>
      <c r="AB94" s="271">
        <v>0</v>
      </c>
      <c r="AC94" s="271">
        <v>0</v>
      </c>
      <c r="AD94" s="271">
        <v>0</v>
      </c>
      <c r="AE94" s="271">
        <v>0</v>
      </c>
      <c r="AF94" s="271">
        <v>0</v>
      </c>
      <c r="AG94" s="271">
        <v>0</v>
      </c>
      <c r="AH94" s="271">
        <v>0</v>
      </c>
      <c r="AI94" s="271">
        <v>0</v>
      </c>
      <c r="AJ94" s="271">
        <v>0</v>
      </c>
    </row>
    <row r="95" spans="2:36" s="11" customFormat="1" ht="16">
      <c r="B95" s="265" t="s">
        <v>108</v>
      </c>
      <c r="C95" s="265"/>
      <c r="D95" s="265"/>
      <c r="E95" s="265"/>
      <c r="F95" s="272">
        <v>0</v>
      </c>
      <c r="G95" s="273">
        <f t="shared" ref="G95:AJ95" si="23">G90</f>
        <v>-2567991.7706435234</v>
      </c>
      <c r="H95" s="273">
        <f t="shared" si="23"/>
        <v>-2747751.1945885699</v>
      </c>
      <c r="I95" s="273">
        <f t="shared" si="23"/>
        <v>-2940093.7782097701</v>
      </c>
      <c r="J95" s="273">
        <f t="shared" si="23"/>
        <v>-3145900.3426844538</v>
      </c>
      <c r="K95" s="273">
        <f t="shared" si="23"/>
        <v>-3366113.3666723659</v>
      </c>
      <c r="L95" s="273">
        <f t="shared" si="23"/>
        <v>-3601741.3023394314</v>
      </c>
      <c r="M95" s="273">
        <f t="shared" si="23"/>
        <v>-3853863.1935031912</v>
      </c>
      <c r="N95" s="273">
        <f t="shared" si="23"/>
        <v>-4123633.6170484154</v>
      </c>
      <c r="O95" s="273">
        <f t="shared" si="23"/>
        <v>-4412287.9702418046</v>
      </c>
      <c r="P95" s="273">
        <f t="shared" si="23"/>
        <v>-4721148.1281587305</v>
      </c>
      <c r="Q95" s="273">
        <f t="shared" si="23"/>
        <v>-5051628.4971298417</v>
      </c>
      <c r="R95" s="273">
        <f t="shared" si="23"/>
        <v>-5405242.4919289304</v>
      </c>
      <c r="S95" s="273">
        <f t="shared" si="23"/>
        <v>-5783609.4663639562</v>
      </c>
      <c r="T95" s="273">
        <f t="shared" si="23"/>
        <v>-6188462.1290094331</v>
      </c>
      <c r="U95" s="273">
        <f t="shared" si="23"/>
        <v>-6621654.4780400926</v>
      </c>
      <c r="V95" s="273">
        <f t="shared" si="23"/>
        <v>0</v>
      </c>
      <c r="W95" s="273">
        <f t="shared" si="23"/>
        <v>0</v>
      </c>
      <c r="X95" s="273">
        <f t="shared" si="23"/>
        <v>0</v>
      </c>
      <c r="Y95" s="273">
        <f t="shared" si="23"/>
        <v>0</v>
      </c>
      <c r="Z95" s="273">
        <f t="shared" si="23"/>
        <v>0</v>
      </c>
      <c r="AA95" s="273">
        <f t="shared" si="23"/>
        <v>0</v>
      </c>
      <c r="AB95" s="273">
        <f t="shared" si="23"/>
        <v>0</v>
      </c>
      <c r="AC95" s="273">
        <f t="shared" si="23"/>
        <v>0</v>
      </c>
      <c r="AD95" s="273">
        <f t="shared" si="23"/>
        <v>0</v>
      </c>
      <c r="AE95" s="273">
        <f t="shared" si="23"/>
        <v>0</v>
      </c>
      <c r="AF95" s="273">
        <f t="shared" si="23"/>
        <v>0</v>
      </c>
      <c r="AG95" s="273">
        <f t="shared" si="23"/>
        <v>0</v>
      </c>
      <c r="AH95" s="273">
        <f t="shared" si="23"/>
        <v>0</v>
      </c>
      <c r="AI95" s="273">
        <f t="shared" si="23"/>
        <v>0</v>
      </c>
      <c r="AJ95" s="273">
        <f t="shared" si="23"/>
        <v>0</v>
      </c>
    </row>
    <row r="96" spans="2:36" s="11" customFormat="1" ht="16">
      <c r="B96" s="265" t="s">
        <v>82</v>
      </c>
      <c r="C96" s="265"/>
      <c r="D96" s="265"/>
      <c r="E96" s="265"/>
      <c r="F96" s="269">
        <f t="shared" ref="F96:AJ96" si="24">SUM(F93:F95)</f>
        <v>64531121.7265625</v>
      </c>
      <c r="G96" s="269">
        <f t="shared" si="24"/>
        <v>61963129.955918975</v>
      </c>
      <c r="H96" s="269">
        <f t="shared" si="24"/>
        <v>59215378.761330403</v>
      </c>
      <c r="I96" s="269">
        <f t="shared" si="24"/>
        <v>56275284.983120635</v>
      </c>
      <c r="J96" s="269">
        <f t="shared" si="24"/>
        <v>53129384.64043618</v>
      </c>
      <c r="K96" s="269">
        <f t="shared" si="24"/>
        <v>49763271.273763813</v>
      </c>
      <c r="L96" s="269">
        <f t="shared" si="24"/>
        <v>46161529.971424378</v>
      </c>
      <c r="M96" s="269">
        <f t="shared" si="24"/>
        <v>42307666.777921185</v>
      </c>
      <c r="N96" s="269">
        <f t="shared" si="24"/>
        <v>38184033.160872772</v>
      </c>
      <c r="O96" s="269">
        <f t="shared" si="24"/>
        <v>33771745.190630965</v>
      </c>
      <c r="P96" s="269">
        <f t="shared" si="24"/>
        <v>29050597.062472235</v>
      </c>
      <c r="Q96" s="269">
        <f t="shared" si="24"/>
        <v>23998968.565342393</v>
      </c>
      <c r="R96" s="269">
        <f t="shared" si="24"/>
        <v>18593726.073413461</v>
      </c>
      <c r="S96" s="269">
        <f t="shared" si="24"/>
        <v>12810116.607049506</v>
      </c>
      <c r="T96" s="269">
        <f t="shared" si="24"/>
        <v>6621654.4780400731</v>
      </c>
      <c r="U96" s="269">
        <f t="shared" si="24"/>
        <v>-1.9557774066925049E-8</v>
      </c>
      <c r="V96" s="269">
        <f t="shared" si="24"/>
        <v>-1.9557774066925049E-8</v>
      </c>
      <c r="W96" s="269">
        <f t="shared" si="24"/>
        <v>-1.9557774066925049E-8</v>
      </c>
      <c r="X96" s="269">
        <f t="shared" si="24"/>
        <v>-1.9557774066925049E-8</v>
      </c>
      <c r="Y96" s="269">
        <f t="shared" si="24"/>
        <v>-1.9557774066925049E-8</v>
      </c>
      <c r="Z96" s="269">
        <f t="shared" si="24"/>
        <v>-1.9557774066925049E-8</v>
      </c>
      <c r="AA96" s="269">
        <f t="shared" si="24"/>
        <v>-1.9557774066925049E-8</v>
      </c>
      <c r="AB96" s="269">
        <f t="shared" si="24"/>
        <v>-1.9557774066925049E-8</v>
      </c>
      <c r="AC96" s="269">
        <f t="shared" si="24"/>
        <v>-1.9557774066925049E-8</v>
      </c>
      <c r="AD96" s="269">
        <f t="shared" si="24"/>
        <v>-1.9557774066925049E-8</v>
      </c>
      <c r="AE96" s="269">
        <f t="shared" si="24"/>
        <v>-1.9557774066925049E-8</v>
      </c>
      <c r="AF96" s="269">
        <f t="shared" si="24"/>
        <v>-1.9557774066925049E-8</v>
      </c>
      <c r="AG96" s="269">
        <f t="shared" si="24"/>
        <v>-1.9557774066925049E-8</v>
      </c>
      <c r="AH96" s="269">
        <f t="shared" si="24"/>
        <v>-1.9557774066925049E-8</v>
      </c>
      <c r="AI96" s="269">
        <f t="shared" si="24"/>
        <v>-1.9557774066925049E-8</v>
      </c>
      <c r="AJ96" s="269">
        <f t="shared" si="24"/>
        <v>-1.9557774066925049E-8</v>
      </c>
    </row>
    <row r="97" spans="2:36" s="11" customFormat="1" ht="17" thickBot="1">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row>
    <row r="98" spans="2:36">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row>
    <row r="99" spans="2:36" s="11" customFormat="1" ht="16">
      <c r="B99" s="229" t="s">
        <v>132</v>
      </c>
      <c r="C99" s="911" t="s">
        <v>350</v>
      </c>
      <c r="D99" s="911"/>
      <c r="E99" s="911"/>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row>
    <row r="100" spans="2:36" s="11" customFormat="1" ht="16">
      <c r="B100" s="230" t="s">
        <v>114</v>
      </c>
      <c r="C100" s="231" t="s">
        <v>351</v>
      </c>
      <c r="D100" s="231" t="s">
        <v>352</v>
      </c>
      <c r="E100" s="231" t="s">
        <v>353</v>
      </c>
      <c r="F100" s="231">
        <v>0</v>
      </c>
      <c r="G100" s="231">
        <v>1</v>
      </c>
      <c r="H100" s="231">
        <v>2</v>
      </c>
      <c r="I100" s="231">
        <v>3</v>
      </c>
      <c r="J100" s="231">
        <v>4</v>
      </c>
      <c r="K100" s="231">
        <v>5</v>
      </c>
      <c r="L100" s="231">
        <v>6</v>
      </c>
      <c r="M100" s="231">
        <v>7</v>
      </c>
      <c r="N100" s="231">
        <v>8</v>
      </c>
      <c r="O100" s="231">
        <v>9</v>
      </c>
      <c r="P100" s="231">
        <v>10</v>
      </c>
      <c r="Q100" s="231">
        <v>11</v>
      </c>
      <c r="R100" s="231">
        <v>12</v>
      </c>
      <c r="S100" s="231">
        <v>13</v>
      </c>
      <c r="T100" s="231">
        <v>14</v>
      </c>
      <c r="U100" s="231">
        <v>15</v>
      </c>
      <c r="V100" s="231">
        <v>16</v>
      </c>
      <c r="W100" s="231">
        <v>17</v>
      </c>
      <c r="X100" s="231">
        <v>18</v>
      </c>
      <c r="Y100" s="231">
        <v>19</v>
      </c>
      <c r="Z100" s="231">
        <v>20</v>
      </c>
      <c r="AA100" s="231">
        <v>21</v>
      </c>
      <c r="AB100" s="231">
        <v>22</v>
      </c>
      <c r="AC100" s="231">
        <v>23</v>
      </c>
      <c r="AD100" s="231">
        <v>24</v>
      </c>
      <c r="AE100" s="231">
        <v>25</v>
      </c>
      <c r="AF100" s="231">
        <v>26</v>
      </c>
      <c r="AG100" s="231">
        <v>27</v>
      </c>
      <c r="AH100" s="231">
        <v>28</v>
      </c>
      <c r="AI100" s="231">
        <v>29</v>
      </c>
      <c r="AJ100" s="231">
        <v>30</v>
      </c>
    </row>
    <row r="101" spans="2:36" s="11" customFormat="1" ht="16">
      <c r="B101" s="232" t="s">
        <v>115</v>
      </c>
      <c r="C101" s="233" t="s">
        <v>354</v>
      </c>
      <c r="D101" s="233" t="s">
        <v>116</v>
      </c>
      <c r="E101" s="233" t="s">
        <v>354</v>
      </c>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row>
    <row r="102" spans="2:36" s="11" customFormat="1" ht="16">
      <c r="B102" s="230" t="s">
        <v>70</v>
      </c>
      <c r="C102" s="234">
        <f>IF(Inputs!$G$20="Simple",Inputs!$G$75*Inputs!$P$91,IF(Inputs!$G$20="Intermediate",(Inputs!$G$32*Inputs!$P$92)+((Inputs!$G$49+Inputs!$G$64)*Inputs!$P$93)+((Inputs!$G$70-Inputs!$G$68-Inputs!$G$67)*Inputs!$P$94)+SUMPRODUCT(Inputs!$G$67:$G$68,Inputs!$P$95:$P$96),(Inputs!$G$32*Inputs!$P$92)+'Complex Inputs'!$F$121))</f>
        <v>94320905.024062499</v>
      </c>
      <c r="D102" s="521">
        <f>C102/$C$108</f>
        <v>0.80965140118972667</v>
      </c>
      <c r="E102" s="234">
        <f>($C$108-$C$110)*IF(Inputs!$P$86="No",1,(1-Inputs!$P$87))*D102</f>
        <v>82865847.0869302</v>
      </c>
      <c r="F102" s="235"/>
      <c r="G102" s="236">
        <v>0.2</v>
      </c>
      <c r="H102" s="236">
        <v>0.32</v>
      </c>
      <c r="I102" s="236">
        <v>0.192</v>
      </c>
      <c r="J102" s="236">
        <v>0.1152</v>
      </c>
      <c r="K102" s="236">
        <v>0.1152</v>
      </c>
      <c r="L102" s="236">
        <v>5.7599999999999998E-2</v>
      </c>
      <c r="M102" s="236">
        <v>0</v>
      </c>
      <c r="N102" s="236">
        <v>0</v>
      </c>
      <c r="O102" s="236">
        <v>0</v>
      </c>
      <c r="P102" s="236">
        <v>0</v>
      </c>
      <c r="Q102" s="236">
        <v>0</v>
      </c>
      <c r="R102" s="236">
        <v>0</v>
      </c>
      <c r="S102" s="236">
        <v>0</v>
      </c>
      <c r="T102" s="236">
        <v>0</v>
      </c>
      <c r="U102" s="236">
        <v>0</v>
      </c>
      <c r="V102" s="236">
        <v>0</v>
      </c>
      <c r="W102" s="236">
        <v>0</v>
      </c>
      <c r="X102" s="236">
        <v>0</v>
      </c>
      <c r="Y102" s="236">
        <v>0</v>
      </c>
      <c r="Z102" s="236">
        <v>0</v>
      </c>
      <c r="AA102" s="236">
        <v>0</v>
      </c>
      <c r="AB102" s="236">
        <v>0</v>
      </c>
      <c r="AC102" s="236">
        <v>0</v>
      </c>
      <c r="AD102" s="236">
        <v>0</v>
      </c>
      <c r="AE102" s="236">
        <v>0</v>
      </c>
      <c r="AF102" s="236">
        <v>0</v>
      </c>
      <c r="AG102" s="236">
        <v>0</v>
      </c>
      <c r="AH102" s="236">
        <v>0</v>
      </c>
      <c r="AI102" s="236">
        <v>0</v>
      </c>
      <c r="AJ102" s="236">
        <v>0</v>
      </c>
    </row>
    <row r="103" spans="2:36" s="11" customFormat="1" ht="16">
      <c r="B103" s="230" t="s">
        <v>71</v>
      </c>
      <c r="C103" s="234">
        <f>IF(Inputs!$G$20="Simple",Inputs!$G$75*Inputs!$Q$91,IF(Inputs!$G$20="Intermediate",(Inputs!$G$32*Inputs!$Q$92)+((Inputs!$G$49+Inputs!$G$64)*Inputs!$Q$93)+((Inputs!$G$70-Inputs!$G$68-Inputs!$G$67)*Inputs!$Q$94)+SUMPRODUCT(Inputs!$G$67:$G$68,Inputs!$Q$95:$Q$96),(Inputs!$G$32*Inputs!$Q$92)+'Complex Inputs'!$F$121))</f>
        <v>1000000</v>
      </c>
      <c r="D103" s="521">
        <f>C103/$C$108</f>
        <v>8.584007977692475E-3</v>
      </c>
      <c r="E103" s="234">
        <f>($C$108-$C$110)*IF(Inputs!$P$86="No",1,(1-Inputs!$P$87))*D103</f>
        <v>878552.28982154105</v>
      </c>
      <c r="F103" s="230"/>
      <c r="G103" s="236">
        <v>0.05</v>
      </c>
      <c r="H103" s="236">
        <v>9.5000000000000001E-2</v>
      </c>
      <c r="I103" s="236">
        <v>8.5500000000000007E-2</v>
      </c>
      <c r="J103" s="236">
        <v>7.6999999999999999E-2</v>
      </c>
      <c r="K103" s="236">
        <v>6.93E-2</v>
      </c>
      <c r="L103" s="236">
        <v>6.2300000000000001E-2</v>
      </c>
      <c r="M103" s="236">
        <v>5.8999999999999997E-2</v>
      </c>
      <c r="N103" s="236">
        <v>5.8999999999999997E-2</v>
      </c>
      <c r="O103" s="236">
        <v>5.91E-2</v>
      </c>
      <c r="P103" s="236">
        <v>5.8999999999999997E-2</v>
      </c>
      <c r="Q103" s="236">
        <v>5.91E-2</v>
      </c>
      <c r="R103" s="236">
        <v>5.8999999999999997E-2</v>
      </c>
      <c r="S103" s="236">
        <v>5.91E-2</v>
      </c>
      <c r="T103" s="236">
        <v>5.8999999999999997E-2</v>
      </c>
      <c r="U103" s="236">
        <v>5.91E-2</v>
      </c>
      <c r="V103" s="236">
        <v>2.9499999999999998E-2</v>
      </c>
      <c r="W103" s="236">
        <v>0</v>
      </c>
      <c r="X103" s="236">
        <v>0</v>
      </c>
      <c r="Y103" s="236">
        <v>0</v>
      </c>
      <c r="Z103" s="236">
        <v>0</v>
      </c>
      <c r="AA103" s="236">
        <v>0</v>
      </c>
      <c r="AB103" s="236">
        <v>0</v>
      </c>
      <c r="AC103" s="236">
        <v>0</v>
      </c>
      <c r="AD103" s="236">
        <v>0</v>
      </c>
      <c r="AE103" s="236">
        <v>0</v>
      </c>
      <c r="AF103" s="236">
        <v>0</v>
      </c>
      <c r="AG103" s="236">
        <v>0</v>
      </c>
      <c r="AH103" s="236">
        <v>0</v>
      </c>
      <c r="AI103" s="236">
        <v>0</v>
      </c>
      <c r="AJ103" s="236">
        <v>0</v>
      </c>
    </row>
    <row r="104" spans="2:36" s="11" customFormat="1" ht="16">
      <c r="B104" s="230" t="s">
        <v>72</v>
      </c>
      <c r="C104" s="234">
        <f>IF(Inputs!$G$20="Simple",Inputs!$G$75*Inputs!$R$91,IF(Inputs!$G$20="Intermediate",(Inputs!$G$32*Inputs!$R$92)+((Inputs!$G$49+Inputs!$G$64)*Inputs!$R$93)+((Inputs!$G$70-Inputs!$G$68-Inputs!$G$67)*Inputs!$R$94)+SUMPRODUCT(Inputs!$G$67:$G$68,Inputs!$R$95:$R$96),(Inputs!$G$32*Inputs!$R$92)+'Complex Inputs'!$F$121))</f>
        <v>4024896.4297876973</v>
      </c>
      <c r="D104" s="521">
        <f>C104/$C$108</f>
        <v>3.4549743062683554E-2</v>
      </c>
      <c r="E104" s="234">
        <f>($C$108-$C$110)*IF(Inputs!$P$86="No",1,(1-Inputs!$P$87))*D104</f>
        <v>3536081.9746845267</v>
      </c>
      <c r="F104" s="230"/>
      <c r="G104" s="236">
        <v>2.5000000000000001E-2</v>
      </c>
      <c r="H104" s="236">
        <v>0.05</v>
      </c>
      <c r="I104" s="236">
        <v>0.05</v>
      </c>
      <c r="J104" s="236">
        <v>0.05</v>
      </c>
      <c r="K104" s="236">
        <v>0.05</v>
      </c>
      <c r="L104" s="236">
        <v>0.05</v>
      </c>
      <c r="M104" s="236">
        <v>0.05</v>
      </c>
      <c r="N104" s="236">
        <v>0.05</v>
      </c>
      <c r="O104" s="236">
        <v>0.05</v>
      </c>
      <c r="P104" s="236">
        <v>0.05</v>
      </c>
      <c r="Q104" s="236">
        <v>0.05</v>
      </c>
      <c r="R104" s="236">
        <v>0.05</v>
      </c>
      <c r="S104" s="236">
        <v>0.05</v>
      </c>
      <c r="T104" s="236">
        <v>0.05</v>
      </c>
      <c r="U104" s="236">
        <v>0.05</v>
      </c>
      <c r="V104" s="236">
        <v>0.05</v>
      </c>
      <c r="W104" s="236">
        <v>0.05</v>
      </c>
      <c r="X104" s="236">
        <v>0.05</v>
      </c>
      <c r="Y104" s="236">
        <v>0.05</v>
      </c>
      <c r="Z104" s="236">
        <v>0.05</v>
      </c>
      <c r="AA104" s="236">
        <v>2.5000000000000001E-2</v>
      </c>
      <c r="AB104" s="236">
        <f t="shared" ref="AB104:AJ104" si="25">IF(AB$100&lt;=20, 1/20,0)</f>
        <v>0</v>
      </c>
      <c r="AC104" s="236">
        <f t="shared" si="25"/>
        <v>0</v>
      </c>
      <c r="AD104" s="236">
        <f t="shared" si="25"/>
        <v>0</v>
      </c>
      <c r="AE104" s="236">
        <f t="shared" si="25"/>
        <v>0</v>
      </c>
      <c r="AF104" s="236">
        <f t="shared" si="25"/>
        <v>0</v>
      </c>
      <c r="AG104" s="236">
        <f t="shared" si="25"/>
        <v>0</v>
      </c>
      <c r="AH104" s="236">
        <f t="shared" si="25"/>
        <v>0</v>
      </c>
      <c r="AI104" s="236">
        <f t="shared" si="25"/>
        <v>0</v>
      </c>
      <c r="AJ104" s="236">
        <f t="shared" si="25"/>
        <v>0</v>
      </c>
    </row>
    <row r="105" spans="2:36" s="11" customFormat="1" ht="16">
      <c r="B105" s="230" t="s">
        <v>349</v>
      </c>
      <c r="C105" s="234"/>
      <c r="D105" s="521"/>
      <c r="E105" s="234">
        <f>($C$108-$C$110)*IF(Inputs!$P$86="No",0,Inputs!$P$87)</f>
        <v>0</v>
      </c>
      <c r="F105" s="230"/>
      <c r="G105" s="236">
        <v>1</v>
      </c>
      <c r="H105" s="236">
        <v>0</v>
      </c>
      <c r="I105" s="236">
        <v>0</v>
      </c>
      <c r="J105" s="236">
        <v>0</v>
      </c>
      <c r="K105" s="236">
        <v>0</v>
      </c>
      <c r="L105" s="236">
        <v>0</v>
      </c>
      <c r="M105" s="236">
        <v>0</v>
      </c>
      <c r="N105" s="236">
        <v>0</v>
      </c>
      <c r="O105" s="236">
        <v>0</v>
      </c>
      <c r="P105" s="236">
        <v>0</v>
      </c>
      <c r="Q105" s="236">
        <v>0</v>
      </c>
      <c r="R105" s="236">
        <v>0</v>
      </c>
      <c r="S105" s="236">
        <v>0</v>
      </c>
      <c r="T105" s="236">
        <v>0</v>
      </c>
      <c r="U105" s="236">
        <v>0</v>
      </c>
      <c r="V105" s="236">
        <v>0</v>
      </c>
      <c r="W105" s="236">
        <v>0</v>
      </c>
      <c r="X105" s="236">
        <v>0</v>
      </c>
      <c r="Y105" s="236">
        <v>0</v>
      </c>
      <c r="Z105" s="236">
        <v>0</v>
      </c>
      <c r="AA105" s="236">
        <v>0</v>
      </c>
      <c r="AB105" s="236">
        <v>0</v>
      </c>
      <c r="AC105" s="236">
        <v>0</v>
      </c>
      <c r="AD105" s="236">
        <v>0</v>
      </c>
      <c r="AE105" s="236">
        <v>0</v>
      </c>
      <c r="AF105" s="236">
        <v>0</v>
      </c>
      <c r="AG105" s="236">
        <v>0</v>
      </c>
      <c r="AH105" s="236">
        <v>0</v>
      </c>
      <c r="AI105" s="236">
        <v>0</v>
      </c>
      <c r="AJ105" s="236">
        <v>0</v>
      </c>
    </row>
    <row r="106" spans="2:36" s="11" customFormat="1" ht="16">
      <c r="B106" s="245" t="s">
        <v>22</v>
      </c>
      <c r="C106" s="734">
        <f>IF(Inputs!$G$20="Simple",Inputs!$G$75*Inputs!$U$91,IF(Inputs!$G$20="Intermediate",(Inputs!$G$32*Inputs!$U$92)+((Inputs!$G$49+Inputs!$G$64)*Inputs!$U$93)+((Inputs!$G$70-Inputs!$G$68-Inputs!$G$67)*Inputs!$U$94)+SUMPRODUCT(Inputs!$G$67:$G$68,Inputs!$U$95:$U$96),(Inputs!$G$32*Inputs!$U$92)+'Complex Inputs'!$F$121))</f>
        <v>17149896.429787695</v>
      </c>
      <c r="D106" s="689">
        <f>C106/$C$108</f>
        <v>0.14721484776989727</v>
      </c>
      <c r="E106" s="688">
        <f>($C$108-$C$110)*IF(Inputs!$P$86="No",1,(1-Inputs!$P$87))*D106</f>
        <v>15067080.778592251</v>
      </c>
      <c r="F106" s="230"/>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row>
    <row r="107" spans="2:36" s="11" customFormat="1" ht="16">
      <c r="B107" s="312"/>
      <c r="C107" s="520" t="s">
        <v>355</v>
      </c>
      <c r="D107" s="520"/>
      <c r="E107" s="520" t="s">
        <v>356</v>
      </c>
      <c r="F107" s="230"/>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row>
    <row r="108" spans="2:36" s="11" customFormat="1" ht="16">
      <c r="B108" s="229" t="s">
        <v>357</v>
      </c>
      <c r="C108" s="239">
        <f>SUM(C102:C106)</f>
        <v>116495697.88363789</v>
      </c>
      <c r="D108" s="521">
        <f>SUM(D102:D106)</f>
        <v>0.99999999999999989</v>
      </c>
      <c r="E108" s="239">
        <f>SUM(E102:E106)</f>
        <v>102347562.13002852</v>
      </c>
      <c r="F108" s="230"/>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row>
    <row r="109" spans="2:36" s="11" customFormat="1" ht="16">
      <c r="B109" s="312"/>
      <c r="C109" s="522" t="str">
        <f>IF(C108+C137+C144=Inputs!G75,"OK","error")</f>
        <v>OK</v>
      </c>
      <c r="D109" s="522" t="str">
        <f>IF(D108=100%,"OK","error")</f>
        <v>OK</v>
      </c>
      <c r="E109" s="522" t="str">
        <f>IF(ROUND(E108,0)=ROUND((C108-C110),0),"OK","error")</f>
        <v>OK</v>
      </c>
      <c r="F109" s="230"/>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row>
    <row r="110" spans="2:36" s="11" customFormat="1" ht="16">
      <c r="B110" s="230" t="s">
        <v>360</v>
      </c>
      <c r="C110" s="234">
        <f>IF(OR(Inputs!$Q$55="Performance-Based",Inputs!$Q$55="Neither"),0,50%*Inputs!$Q$59)+IF(Inputs!$Q$66="Yes",0,Inputs!$Q$65)+IF(Inputs!$Q$83="Yes",0,IF(Inputs!$Q$82=0,Inputs!$Q$81*1000*Inputs!$G$6,MIN(Inputs!$Q$82,Inputs!$Q$81*1000*Inputs!$G$6)))</f>
        <v>14148135.753609374</v>
      </c>
      <c r="D110" s="230"/>
      <c r="E110" s="234"/>
      <c r="F110" s="230"/>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row>
    <row r="111" spans="2:36" s="11" customFormat="1" ht="16">
      <c r="B111" s="230"/>
      <c r="C111" s="234"/>
      <c r="D111" s="230"/>
      <c r="E111" s="234"/>
      <c r="F111" s="230"/>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row>
    <row r="112" spans="2:36" s="11" customFormat="1" ht="16">
      <c r="B112" s="232" t="s">
        <v>133</v>
      </c>
      <c r="C112" s="676"/>
      <c r="D112" s="232"/>
      <c r="E112" s="230"/>
      <c r="F112" s="230"/>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row>
    <row r="113" spans="2:36" s="11" customFormat="1" ht="16">
      <c r="B113" s="230" t="s">
        <v>73</v>
      </c>
      <c r="C113" s="230"/>
      <c r="D113" s="230"/>
      <c r="E113" s="238" t="s">
        <v>118</v>
      </c>
      <c r="F113" s="239"/>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row>
    <row r="114" spans="2:36" s="11" customFormat="1" ht="16">
      <c r="B114" s="230" t="s">
        <v>70</v>
      </c>
      <c r="C114" s="230"/>
      <c r="D114" s="230"/>
      <c r="E114" s="240">
        <f>SUM(G114:AJ114)</f>
        <v>82865847.086930215</v>
      </c>
      <c r="F114" s="239"/>
      <c r="G114" s="241">
        <f>$E102*G102</f>
        <v>16573169.41738604</v>
      </c>
      <c r="H114" s="241">
        <f t="shared" ref="H114:AJ114" si="26">$E102*H102</f>
        <v>26517071.067817666</v>
      </c>
      <c r="I114" s="241">
        <f t="shared" si="26"/>
        <v>15910242.640690599</v>
      </c>
      <c r="J114" s="241">
        <f t="shared" si="26"/>
        <v>9546145.5844143592</v>
      </c>
      <c r="K114" s="241">
        <f t="shared" si="26"/>
        <v>9546145.5844143592</v>
      </c>
      <c r="L114" s="241">
        <f t="shared" si="26"/>
        <v>4773072.7922071796</v>
      </c>
      <c r="M114" s="241">
        <f t="shared" si="26"/>
        <v>0</v>
      </c>
      <c r="N114" s="241">
        <f t="shared" si="26"/>
        <v>0</v>
      </c>
      <c r="O114" s="241">
        <f t="shared" si="26"/>
        <v>0</v>
      </c>
      <c r="P114" s="241">
        <f t="shared" si="26"/>
        <v>0</v>
      </c>
      <c r="Q114" s="241">
        <f t="shared" si="26"/>
        <v>0</v>
      </c>
      <c r="R114" s="241">
        <f t="shared" si="26"/>
        <v>0</v>
      </c>
      <c r="S114" s="241">
        <f t="shared" si="26"/>
        <v>0</v>
      </c>
      <c r="T114" s="241">
        <f t="shared" si="26"/>
        <v>0</v>
      </c>
      <c r="U114" s="241">
        <f t="shared" si="26"/>
        <v>0</v>
      </c>
      <c r="V114" s="241">
        <f t="shared" si="26"/>
        <v>0</v>
      </c>
      <c r="W114" s="241">
        <f t="shared" si="26"/>
        <v>0</v>
      </c>
      <c r="X114" s="241">
        <f t="shared" si="26"/>
        <v>0</v>
      </c>
      <c r="Y114" s="241">
        <f t="shared" si="26"/>
        <v>0</v>
      </c>
      <c r="Z114" s="241">
        <f t="shared" si="26"/>
        <v>0</v>
      </c>
      <c r="AA114" s="241">
        <f t="shared" si="26"/>
        <v>0</v>
      </c>
      <c r="AB114" s="241">
        <f t="shared" si="26"/>
        <v>0</v>
      </c>
      <c r="AC114" s="241">
        <f t="shared" si="26"/>
        <v>0</v>
      </c>
      <c r="AD114" s="241">
        <f t="shared" si="26"/>
        <v>0</v>
      </c>
      <c r="AE114" s="241">
        <f t="shared" si="26"/>
        <v>0</v>
      </c>
      <c r="AF114" s="241">
        <f t="shared" si="26"/>
        <v>0</v>
      </c>
      <c r="AG114" s="241">
        <f t="shared" si="26"/>
        <v>0</v>
      </c>
      <c r="AH114" s="241">
        <f t="shared" si="26"/>
        <v>0</v>
      </c>
      <c r="AI114" s="241">
        <f t="shared" si="26"/>
        <v>0</v>
      </c>
      <c r="AJ114" s="241">
        <f t="shared" si="26"/>
        <v>0</v>
      </c>
    </row>
    <row r="115" spans="2:36" s="11" customFormat="1" ht="16">
      <c r="B115" s="230" t="s">
        <v>71</v>
      </c>
      <c r="C115" s="230"/>
      <c r="D115" s="230"/>
      <c r="E115" s="240">
        <f t="shared" ref="E115:E117" si="27">SUM(G115:AJ115)</f>
        <v>878552.28982154117</v>
      </c>
      <c r="F115" s="239"/>
      <c r="G115" s="241">
        <f t="shared" ref="G115:AJ115" si="28">$E103*G103</f>
        <v>43927.614491077053</v>
      </c>
      <c r="H115" s="241">
        <f t="shared" si="28"/>
        <v>83462.467533046394</v>
      </c>
      <c r="I115" s="241">
        <f t="shared" si="28"/>
        <v>75116.220779741765</v>
      </c>
      <c r="J115" s="241">
        <f t="shared" si="28"/>
        <v>67648.526316258663</v>
      </c>
      <c r="K115" s="241">
        <f t="shared" si="28"/>
        <v>60883.673684632799</v>
      </c>
      <c r="L115" s="241">
        <f t="shared" si="28"/>
        <v>54733.80765588201</v>
      </c>
      <c r="M115" s="241">
        <f t="shared" si="28"/>
        <v>51834.585099470918</v>
      </c>
      <c r="N115" s="241">
        <f t="shared" si="28"/>
        <v>51834.585099470918</v>
      </c>
      <c r="O115" s="241">
        <f t="shared" si="28"/>
        <v>51922.440328453078</v>
      </c>
      <c r="P115" s="241">
        <f t="shared" si="28"/>
        <v>51834.585099470918</v>
      </c>
      <c r="Q115" s="241">
        <f t="shared" si="28"/>
        <v>51922.440328453078</v>
      </c>
      <c r="R115" s="241">
        <f t="shared" si="28"/>
        <v>51834.585099470918</v>
      </c>
      <c r="S115" s="241">
        <f t="shared" si="28"/>
        <v>51922.440328453078</v>
      </c>
      <c r="T115" s="241">
        <f t="shared" si="28"/>
        <v>51834.585099470918</v>
      </c>
      <c r="U115" s="241">
        <f t="shared" si="28"/>
        <v>51922.440328453078</v>
      </c>
      <c r="V115" s="241">
        <f t="shared" si="28"/>
        <v>25917.292549735459</v>
      </c>
      <c r="W115" s="241">
        <f t="shared" si="28"/>
        <v>0</v>
      </c>
      <c r="X115" s="241">
        <f t="shared" si="28"/>
        <v>0</v>
      </c>
      <c r="Y115" s="241">
        <f t="shared" si="28"/>
        <v>0</v>
      </c>
      <c r="Z115" s="241">
        <f t="shared" si="28"/>
        <v>0</v>
      </c>
      <c r="AA115" s="241">
        <f t="shared" si="28"/>
        <v>0</v>
      </c>
      <c r="AB115" s="241">
        <f t="shared" si="28"/>
        <v>0</v>
      </c>
      <c r="AC115" s="241">
        <f t="shared" si="28"/>
        <v>0</v>
      </c>
      <c r="AD115" s="241">
        <f t="shared" si="28"/>
        <v>0</v>
      </c>
      <c r="AE115" s="241">
        <f t="shared" si="28"/>
        <v>0</v>
      </c>
      <c r="AF115" s="241">
        <f t="shared" si="28"/>
        <v>0</v>
      </c>
      <c r="AG115" s="241">
        <f t="shared" si="28"/>
        <v>0</v>
      </c>
      <c r="AH115" s="241">
        <f t="shared" si="28"/>
        <v>0</v>
      </c>
      <c r="AI115" s="241">
        <f t="shared" si="28"/>
        <v>0</v>
      </c>
      <c r="AJ115" s="241">
        <f t="shared" si="28"/>
        <v>0</v>
      </c>
    </row>
    <row r="116" spans="2:36" s="11" customFormat="1" ht="16">
      <c r="B116" s="230" t="s">
        <v>72</v>
      </c>
      <c r="C116" s="230"/>
      <c r="D116" s="230"/>
      <c r="E116" s="240">
        <f t="shared" si="27"/>
        <v>3536081.9746845281</v>
      </c>
      <c r="F116" s="239"/>
      <c r="G116" s="241">
        <f t="shared" ref="G116:AJ116" si="29">$E104*G104</f>
        <v>88402.04936711317</v>
      </c>
      <c r="H116" s="241">
        <f t="shared" si="29"/>
        <v>176804.09873422634</v>
      </c>
      <c r="I116" s="241">
        <f t="shared" si="29"/>
        <v>176804.09873422634</v>
      </c>
      <c r="J116" s="241">
        <f t="shared" si="29"/>
        <v>176804.09873422634</v>
      </c>
      <c r="K116" s="241">
        <f t="shared" si="29"/>
        <v>176804.09873422634</v>
      </c>
      <c r="L116" s="241">
        <f t="shared" si="29"/>
        <v>176804.09873422634</v>
      </c>
      <c r="M116" s="241">
        <f t="shared" si="29"/>
        <v>176804.09873422634</v>
      </c>
      <c r="N116" s="241">
        <f t="shared" si="29"/>
        <v>176804.09873422634</v>
      </c>
      <c r="O116" s="241">
        <f t="shared" si="29"/>
        <v>176804.09873422634</v>
      </c>
      <c r="P116" s="241">
        <f t="shared" si="29"/>
        <v>176804.09873422634</v>
      </c>
      <c r="Q116" s="241">
        <f t="shared" si="29"/>
        <v>176804.09873422634</v>
      </c>
      <c r="R116" s="241">
        <f t="shared" si="29"/>
        <v>176804.09873422634</v>
      </c>
      <c r="S116" s="241">
        <f t="shared" si="29"/>
        <v>176804.09873422634</v>
      </c>
      <c r="T116" s="241">
        <f t="shared" si="29"/>
        <v>176804.09873422634</v>
      </c>
      <c r="U116" s="241">
        <f t="shared" si="29"/>
        <v>176804.09873422634</v>
      </c>
      <c r="V116" s="241">
        <f t="shared" si="29"/>
        <v>176804.09873422634</v>
      </c>
      <c r="W116" s="241">
        <f t="shared" si="29"/>
        <v>176804.09873422634</v>
      </c>
      <c r="X116" s="241">
        <f t="shared" si="29"/>
        <v>176804.09873422634</v>
      </c>
      <c r="Y116" s="241">
        <f t="shared" si="29"/>
        <v>176804.09873422634</v>
      </c>
      <c r="Z116" s="241">
        <f t="shared" si="29"/>
        <v>176804.09873422634</v>
      </c>
      <c r="AA116" s="241">
        <f t="shared" si="29"/>
        <v>88402.04936711317</v>
      </c>
      <c r="AB116" s="241">
        <f t="shared" si="29"/>
        <v>0</v>
      </c>
      <c r="AC116" s="241">
        <f t="shared" si="29"/>
        <v>0</v>
      </c>
      <c r="AD116" s="241">
        <f t="shared" si="29"/>
        <v>0</v>
      </c>
      <c r="AE116" s="241">
        <f t="shared" si="29"/>
        <v>0</v>
      </c>
      <c r="AF116" s="241">
        <f t="shared" si="29"/>
        <v>0</v>
      </c>
      <c r="AG116" s="241">
        <f t="shared" si="29"/>
        <v>0</v>
      </c>
      <c r="AH116" s="241">
        <f t="shared" si="29"/>
        <v>0</v>
      </c>
      <c r="AI116" s="241">
        <f t="shared" si="29"/>
        <v>0</v>
      </c>
      <c r="AJ116" s="241">
        <f t="shared" si="29"/>
        <v>0</v>
      </c>
    </row>
    <row r="117" spans="2:36" s="11" customFormat="1" ht="16">
      <c r="B117" s="230" t="s">
        <v>349</v>
      </c>
      <c r="C117" s="230"/>
      <c r="D117" s="230"/>
      <c r="E117" s="240">
        <f t="shared" si="27"/>
        <v>0</v>
      </c>
      <c r="F117" s="240"/>
      <c r="G117" s="241">
        <f t="shared" ref="G117:AJ117" si="30">$E105*G105</f>
        <v>0</v>
      </c>
      <c r="H117" s="241">
        <f t="shared" si="30"/>
        <v>0</v>
      </c>
      <c r="I117" s="241">
        <f t="shared" si="30"/>
        <v>0</v>
      </c>
      <c r="J117" s="241">
        <f t="shared" si="30"/>
        <v>0</v>
      </c>
      <c r="K117" s="241">
        <f t="shared" si="30"/>
        <v>0</v>
      </c>
      <c r="L117" s="241">
        <f t="shared" si="30"/>
        <v>0</v>
      </c>
      <c r="M117" s="241">
        <f t="shared" si="30"/>
        <v>0</v>
      </c>
      <c r="N117" s="241">
        <f t="shared" si="30"/>
        <v>0</v>
      </c>
      <c r="O117" s="241">
        <f t="shared" si="30"/>
        <v>0</v>
      </c>
      <c r="P117" s="241">
        <f t="shared" si="30"/>
        <v>0</v>
      </c>
      <c r="Q117" s="241">
        <f t="shared" si="30"/>
        <v>0</v>
      </c>
      <c r="R117" s="241">
        <f t="shared" si="30"/>
        <v>0</v>
      </c>
      <c r="S117" s="241">
        <f t="shared" si="30"/>
        <v>0</v>
      </c>
      <c r="T117" s="241">
        <f t="shared" si="30"/>
        <v>0</v>
      </c>
      <c r="U117" s="241">
        <f t="shared" si="30"/>
        <v>0</v>
      </c>
      <c r="V117" s="241">
        <f t="shared" si="30"/>
        <v>0</v>
      </c>
      <c r="W117" s="241">
        <f t="shared" si="30"/>
        <v>0</v>
      </c>
      <c r="X117" s="241">
        <f t="shared" si="30"/>
        <v>0</v>
      </c>
      <c r="Y117" s="241">
        <f t="shared" si="30"/>
        <v>0</v>
      </c>
      <c r="Z117" s="241">
        <f t="shared" si="30"/>
        <v>0</v>
      </c>
      <c r="AA117" s="241">
        <f t="shared" si="30"/>
        <v>0</v>
      </c>
      <c r="AB117" s="241">
        <f t="shared" si="30"/>
        <v>0</v>
      </c>
      <c r="AC117" s="241">
        <f t="shared" si="30"/>
        <v>0</v>
      </c>
      <c r="AD117" s="241">
        <f t="shared" si="30"/>
        <v>0</v>
      </c>
      <c r="AE117" s="241">
        <f t="shared" si="30"/>
        <v>0</v>
      </c>
      <c r="AF117" s="241">
        <f t="shared" si="30"/>
        <v>0</v>
      </c>
      <c r="AG117" s="241">
        <f t="shared" si="30"/>
        <v>0</v>
      </c>
      <c r="AH117" s="241">
        <f t="shared" si="30"/>
        <v>0</v>
      </c>
      <c r="AI117" s="241">
        <f t="shared" si="30"/>
        <v>0</v>
      </c>
      <c r="AJ117" s="241">
        <f t="shared" si="30"/>
        <v>0</v>
      </c>
    </row>
    <row r="118" spans="2:36" s="11" customFormat="1" ht="16">
      <c r="B118" s="243" t="s">
        <v>22</v>
      </c>
      <c r="C118" s="243"/>
      <c r="D118" s="243"/>
      <c r="E118" s="244">
        <f>E106</f>
        <v>15067080.778592251</v>
      </c>
      <c r="F118" s="240"/>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row>
    <row r="119" spans="2:36" s="11" customFormat="1" ht="16">
      <c r="B119" s="245" t="s">
        <v>74</v>
      </c>
      <c r="C119" s="245"/>
      <c r="D119" s="245"/>
      <c r="E119" s="240">
        <f>SUM(E114:E118)</f>
        <v>102347562.13002852</v>
      </c>
      <c r="F119" s="246" t="str">
        <f>IF(ROUND(E119,0)=ROUND(SUM(E102:E106),0),"OK","error")</f>
        <v>OK</v>
      </c>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row>
    <row r="120" spans="2:36" s="11" customFormat="1" ht="16">
      <c r="B120" s="245"/>
      <c r="C120" s="245"/>
      <c r="D120" s="245"/>
      <c r="E120" s="240"/>
      <c r="F120" s="246"/>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row>
    <row r="121" spans="2:36" s="11" customFormat="1" ht="16">
      <c r="B121" s="232" t="s">
        <v>134</v>
      </c>
      <c r="C121" s="232"/>
      <c r="D121" s="232"/>
      <c r="E121" s="240"/>
      <c r="F121" s="246"/>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row>
    <row r="122" spans="2:36" s="11" customFormat="1" ht="16">
      <c r="B122" s="230" t="s">
        <v>135</v>
      </c>
      <c r="C122" s="230"/>
      <c r="D122" s="230"/>
      <c r="E122" s="240">
        <f>50%*Inputs!$Q$41*Inputs!$Q$42</f>
        <v>0</v>
      </c>
      <c r="F122" s="246"/>
      <c r="G122" s="242">
        <f>IF(G$2=Inputs!$Q$40,'Cash Flow'!$E$122,0)</f>
        <v>0</v>
      </c>
      <c r="H122" s="242">
        <f>IF(H$2=Inputs!$Q$40,'Cash Flow'!$E$122,0)</f>
        <v>0</v>
      </c>
      <c r="I122" s="242">
        <f>IF(I$2=Inputs!$Q$40,'Cash Flow'!$E$122,0)</f>
        <v>0</v>
      </c>
      <c r="J122" s="242">
        <f>IF(J$2=Inputs!$Q$40,'Cash Flow'!$E$122,0)</f>
        <v>0</v>
      </c>
      <c r="K122" s="242">
        <f>IF(K$2=Inputs!$Q$40,'Cash Flow'!$E$122,0)</f>
        <v>0</v>
      </c>
      <c r="L122" s="242">
        <f>IF(L$2=Inputs!$Q$40,'Cash Flow'!$E$122,0)</f>
        <v>0</v>
      </c>
      <c r="M122" s="242">
        <f>IF(M$2=Inputs!$Q$40,'Cash Flow'!$E$122,0)</f>
        <v>0</v>
      </c>
      <c r="N122" s="242">
        <f>IF(N$2=Inputs!$Q$40,'Cash Flow'!$E$122,0)</f>
        <v>0</v>
      </c>
      <c r="O122" s="242">
        <f>IF(O$2=Inputs!$Q$40,'Cash Flow'!$E$122,0)</f>
        <v>0</v>
      </c>
      <c r="P122" s="242">
        <f>IF(P$2=Inputs!$Q$40,'Cash Flow'!$E$122,0)</f>
        <v>0</v>
      </c>
      <c r="Q122" s="242">
        <f>IF(Q$2=Inputs!$Q$40,'Cash Flow'!$E$122,0)</f>
        <v>0</v>
      </c>
      <c r="R122" s="242">
        <f>IF(R$2=Inputs!$Q$40,'Cash Flow'!$E$122,0)</f>
        <v>0</v>
      </c>
      <c r="S122" s="242">
        <f>IF(S$2=Inputs!$Q$40,'Cash Flow'!$E$122,0)</f>
        <v>0</v>
      </c>
      <c r="T122" s="242">
        <f>IF(T$2=Inputs!$Q$40,'Cash Flow'!$E$122,0)</f>
        <v>0</v>
      </c>
      <c r="U122" s="242">
        <f>IF(U$2=Inputs!$Q$40,'Cash Flow'!$E$122,0)</f>
        <v>0</v>
      </c>
      <c r="V122" s="242">
        <f>IF(V$2=Inputs!$Q$40,'Cash Flow'!$E$122,0)</f>
        <v>0</v>
      </c>
      <c r="W122" s="242">
        <f>IF(W$2=Inputs!$Q$40,'Cash Flow'!$E$122,0)</f>
        <v>0</v>
      </c>
      <c r="X122" s="242">
        <f>IF(X$2=Inputs!$Q$40,'Cash Flow'!$E$122,0)</f>
        <v>0</v>
      </c>
      <c r="Y122" s="242">
        <f>IF(Y$2=Inputs!$Q$40,'Cash Flow'!$E$122,0)</f>
        <v>0</v>
      </c>
      <c r="Z122" s="242">
        <f>IF(Z$2=Inputs!$Q$40,'Cash Flow'!$E$122,0)</f>
        <v>0</v>
      </c>
      <c r="AA122" s="242">
        <f>IF(AA$2=Inputs!$Q$40,'Cash Flow'!$E$122,0)</f>
        <v>0</v>
      </c>
      <c r="AB122" s="242">
        <f>IF(AB$2=Inputs!$Q$40,'Cash Flow'!$E$122,0)</f>
        <v>0</v>
      </c>
      <c r="AC122" s="242">
        <f>IF(AC$2=Inputs!$Q$40,'Cash Flow'!$E$122,0)</f>
        <v>0</v>
      </c>
      <c r="AD122" s="242">
        <f>IF(AD$2=Inputs!$Q$40,'Cash Flow'!$E$122,0)</f>
        <v>0</v>
      </c>
      <c r="AE122" s="242">
        <f>IF(AE$2=Inputs!$Q$40,'Cash Flow'!$E$122,0)</f>
        <v>0</v>
      </c>
      <c r="AF122" s="242">
        <f>IF(AF$2=Inputs!$Q$40,'Cash Flow'!$E$122,0)</f>
        <v>0</v>
      </c>
      <c r="AG122" s="242">
        <f>IF(AG$2=Inputs!$Q$40,'Cash Flow'!$E$122,0)</f>
        <v>0</v>
      </c>
      <c r="AH122" s="242">
        <f>IF(AH$2=Inputs!$Q$40,'Cash Flow'!$E$122,0)</f>
        <v>0</v>
      </c>
      <c r="AI122" s="242">
        <f>IF(AI$2=Inputs!$Q$40,'Cash Flow'!$E$122,0)</f>
        <v>0</v>
      </c>
      <c r="AJ122" s="242">
        <f>IF(AJ$2=Inputs!$Q$40,'Cash Flow'!$E$122,0)</f>
        <v>0</v>
      </c>
    </row>
    <row r="123" spans="2:36" s="11" customFormat="1" ht="16">
      <c r="B123" s="230" t="s">
        <v>137</v>
      </c>
      <c r="C123" s="230"/>
      <c r="D123" s="230"/>
      <c r="E123" s="240"/>
      <c r="F123" s="246"/>
      <c r="G123" s="247">
        <f>IF(G122&gt;0,1,IF(F123&gt;0,F123+1,0))</f>
        <v>0</v>
      </c>
      <c r="H123" s="247">
        <f t="shared" ref="H123:AJ123" si="31">IF(H122&gt;0,1,IF(G123&gt;0,G123+1,0))</f>
        <v>0</v>
      </c>
      <c r="I123" s="247">
        <f t="shared" si="31"/>
        <v>0</v>
      </c>
      <c r="J123" s="247">
        <f t="shared" si="31"/>
        <v>0</v>
      </c>
      <c r="K123" s="247">
        <f t="shared" si="31"/>
        <v>0</v>
      </c>
      <c r="L123" s="247">
        <f t="shared" si="31"/>
        <v>0</v>
      </c>
      <c r="M123" s="247">
        <f t="shared" si="31"/>
        <v>0</v>
      </c>
      <c r="N123" s="247">
        <f t="shared" si="31"/>
        <v>0</v>
      </c>
      <c r="O123" s="247">
        <f t="shared" si="31"/>
        <v>0</v>
      </c>
      <c r="P123" s="247">
        <f t="shared" si="31"/>
        <v>0</v>
      </c>
      <c r="Q123" s="247">
        <f t="shared" si="31"/>
        <v>0</v>
      </c>
      <c r="R123" s="247">
        <f t="shared" si="31"/>
        <v>0</v>
      </c>
      <c r="S123" s="247">
        <f t="shared" si="31"/>
        <v>0</v>
      </c>
      <c r="T123" s="247">
        <f t="shared" si="31"/>
        <v>0</v>
      </c>
      <c r="U123" s="247">
        <f t="shared" si="31"/>
        <v>0</v>
      </c>
      <c r="V123" s="247">
        <f t="shared" si="31"/>
        <v>0</v>
      </c>
      <c r="W123" s="247">
        <f t="shared" si="31"/>
        <v>0</v>
      </c>
      <c r="X123" s="247">
        <f t="shared" si="31"/>
        <v>0</v>
      </c>
      <c r="Y123" s="247">
        <f t="shared" si="31"/>
        <v>0</v>
      </c>
      <c r="Z123" s="247">
        <f t="shared" si="31"/>
        <v>0</v>
      </c>
      <c r="AA123" s="247">
        <f t="shared" si="31"/>
        <v>0</v>
      </c>
      <c r="AB123" s="247">
        <f t="shared" si="31"/>
        <v>0</v>
      </c>
      <c r="AC123" s="247">
        <f t="shared" si="31"/>
        <v>0</v>
      </c>
      <c r="AD123" s="247">
        <f t="shared" si="31"/>
        <v>0</v>
      </c>
      <c r="AE123" s="247">
        <f t="shared" si="31"/>
        <v>0</v>
      </c>
      <c r="AF123" s="247">
        <f t="shared" si="31"/>
        <v>0</v>
      </c>
      <c r="AG123" s="247">
        <f t="shared" si="31"/>
        <v>0</v>
      </c>
      <c r="AH123" s="247">
        <f t="shared" si="31"/>
        <v>0</v>
      </c>
      <c r="AI123" s="247">
        <f t="shared" si="31"/>
        <v>0</v>
      </c>
      <c r="AJ123" s="247">
        <f t="shared" si="31"/>
        <v>0</v>
      </c>
    </row>
    <row r="124" spans="2:36" s="11" customFormat="1" ht="16">
      <c r="B124" s="230" t="s">
        <v>138</v>
      </c>
      <c r="C124" s="230"/>
      <c r="D124" s="230"/>
      <c r="E124" s="240"/>
      <c r="F124" s="246"/>
      <c r="G124" s="242">
        <f t="shared" ref="G124:AJ124" si="32">IF(G123=0,0,$E$122*LOOKUP(G123,$G$100:$AJ$100,$G$102:$AJ$102))</f>
        <v>0</v>
      </c>
      <c r="H124" s="242">
        <f t="shared" si="32"/>
        <v>0</v>
      </c>
      <c r="I124" s="242">
        <f t="shared" si="32"/>
        <v>0</v>
      </c>
      <c r="J124" s="242">
        <f t="shared" si="32"/>
        <v>0</v>
      </c>
      <c r="K124" s="242">
        <f t="shared" si="32"/>
        <v>0</v>
      </c>
      <c r="L124" s="242">
        <f t="shared" si="32"/>
        <v>0</v>
      </c>
      <c r="M124" s="242">
        <f t="shared" si="32"/>
        <v>0</v>
      </c>
      <c r="N124" s="242">
        <f t="shared" si="32"/>
        <v>0</v>
      </c>
      <c r="O124" s="242">
        <f t="shared" si="32"/>
        <v>0</v>
      </c>
      <c r="P124" s="242">
        <f t="shared" si="32"/>
        <v>0</v>
      </c>
      <c r="Q124" s="242">
        <f t="shared" si="32"/>
        <v>0</v>
      </c>
      <c r="R124" s="242">
        <f t="shared" si="32"/>
        <v>0</v>
      </c>
      <c r="S124" s="242">
        <f t="shared" si="32"/>
        <v>0</v>
      </c>
      <c r="T124" s="242">
        <f t="shared" si="32"/>
        <v>0</v>
      </c>
      <c r="U124" s="242">
        <f t="shared" si="32"/>
        <v>0</v>
      </c>
      <c r="V124" s="242">
        <f t="shared" si="32"/>
        <v>0</v>
      </c>
      <c r="W124" s="242">
        <f t="shared" si="32"/>
        <v>0</v>
      </c>
      <c r="X124" s="242">
        <f t="shared" si="32"/>
        <v>0</v>
      </c>
      <c r="Y124" s="242">
        <f t="shared" si="32"/>
        <v>0</v>
      </c>
      <c r="Z124" s="242">
        <f t="shared" si="32"/>
        <v>0</v>
      </c>
      <c r="AA124" s="242">
        <f t="shared" si="32"/>
        <v>0</v>
      </c>
      <c r="AB124" s="242">
        <f t="shared" si="32"/>
        <v>0</v>
      </c>
      <c r="AC124" s="242">
        <f t="shared" si="32"/>
        <v>0</v>
      </c>
      <c r="AD124" s="242">
        <f t="shared" si="32"/>
        <v>0</v>
      </c>
      <c r="AE124" s="242">
        <f t="shared" si="32"/>
        <v>0</v>
      </c>
      <c r="AF124" s="242">
        <f t="shared" si="32"/>
        <v>0</v>
      </c>
      <c r="AG124" s="242">
        <f t="shared" si="32"/>
        <v>0</v>
      </c>
      <c r="AH124" s="242">
        <f t="shared" si="32"/>
        <v>0</v>
      </c>
      <c r="AI124" s="242">
        <f t="shared" si="32"/>
        <v>0</v>
      </c>
      <c r="AJ124" s="242">
        <f t="shared" si="32"/>
        <v>0</v>
      </c>
    </row>
    <row r="125" spans="2:36" s="11" customFormat="1" ht="16">
      <c r="B125" s="230" t="s">
        <v>136</v>
      </c>
      <c r="C125" s="230"/>
      <c r="D125" s="230"/>
      <c r="E125" s="240">
        <f>50%*Inputs!$Q$45*Inputs!$Q$46</f>
        <v>0</v>
      </c>
      <c r="F125" s="246"/>
      <c r="G125" s="242">
        <f>IF(G$2=Inputs!$Q$44,'Cash Flow'!$E$125,0)</f>
        <v>0</v>
      </c>
      <c r="H125" s="242">
        <f>IF(H$2=Inputs!$Q$44,'Cash Flow'!$E$125,0)</f>
        <v>0</v>
      </c>
      <c r="I125" s="242">
        <f>IF(I$2=Inputs!$Q$44,'Cash Flow'!$E$125,0)</f>
        <v>0</v>
      </c>
      <c r="J125" s="242">
        <f>IF(J$2=Inputs!$Q$44,'Cash Flow'!$E$125,0)</f>
        <v>0</v>
      </c>
      <c r="K125" s="242">
        <f>IF(K$2=Inputs!$Q$44,'Cash Flow'!$E$125,0)</f>
        <v>0</v>
      </c>
      <c r="L125" s="242">
        <f>IF(L$2=Inputs!$Q$44,'Cash Flow'!$E$125,0)</f>
        <v>0</v>
      </c>
      <c r="M125" s="242">
        <f>IF(M$2=Inputs!$Q$44,'Cash Flow'!$E$125,0)</f>
        <v>0</v>
      </c>
      <c r="N125" s="242">
        <f>IF(N$2=Inputs!$Q$44,'Cash Flow'!$E$125,0)</f>
        <v>0</v>
      </c>
      <c r="O125" s="242">
        <f>IF(O$2=Inputs!$Q$44,'Cash Flow'!$E$125,0)</f>
        <v>0</v>
      </c>
      <c r="P125" s="242">
        <f>IF(P$2=Inputs!$Q$44,'Cash Flow'!$E$125,0)</f>
        <v>0</v>
      </c>
      <c r="Q125" s="242">
        <f>IF(Q$2=Inputs!$Q$44,'Cash Flow'!$E$125,0)</f>
        <v>0</v>
      </c>
      <c r="R125" s="242">
        <f>IF(R$2=Inputs!$Q$44,'Cash Flow'!$E$125,0)</f>
        <v>0</v>
      </c>
      <c r="S125" s="242">
        <f>IF(S$2=Inputs!$Q$44,'Cash Flow'!$E$125,0)</f>
        <v>0</v>
      </c>
      <c r="T125" s="242">
        <f>IF(T$2=Inputs!$Q$44,'Cash Flow'!$E$125,0)</f>
        <v>0</v>
      </c>
      <c r="U125" s="242">
        <f>IF(U$2=Inputs!$Q$44,'Cash Flow'!$E$125,0)</f>
        <v>0</v>
      </c>
      <c r="V125" s="242">
        <f>IF(V$2=Inputs!$Q$44,'Cash Flow'!$E$125,0)</f>
        <v>0</v>
      </c>
      <c r="W125" s="242">
        <f>IF(W$2=Inputs!$Q$44,'Cash Flow'!$E$125,0)</f>
        <v>0</v>
      </c>
      <c r="X125" s="242">
        <f>IF(X$2=Inputs!$Q$44,'Cash Flow'!$E$125,0)</f>
        <v>0</v>
      </c>
      <c r="Y125" s="242">
        <f>IF(Y$2=Inputs!$Q$44,'Cash Flow'!$E$125,0)</f>
        <v>0</v>
      </c>
      <c r="Z125" s="242">
        <f>IF(Z$2=Inputs!$Q$44,'Cash Flow'!$E$125,0)</f>
        <v>0</v>
      </c>
      <c r="AA125" s="242">
        <f>IF(AA$2=Inputs!$Q$44,'Cash Flow'!$E$125,0)</f>
        <v>0</v>
      </c>
      <c r="AB125" s="242">
        <f>IF(AB$2=Inputs!$Q$44,'Cash Flow'!$E$125,0)</f>
        <v>0</v>
      </c>
      <c r="AC125" s="242">
        <f>IF(AC$2=Inputs!$Q$44,'Cash Flow'!$E$125,0)</f>
        <v>0</v>
      </c>
      <c r="AD125" s="242">
        <f>IF(AD$2=Inputs!$Q$44,'Cash Flow'!$E$125,0)</f>
        <v>0</v>
      </c>
      <c r="AE125" s="242">
        <f>IF(AE$2=Inputs!$Q$44,'Cash Flow'!$E$125,0)</f>
        <v>0</v>
      </c>
      <c r="AF125" s="242">
        <f>IF(AF$2=Inputs!$Q$44,'Cash Flow'!$E$125,0)</f>
        <v>0</v>
      </c>
      <c r="AG125" s="242">
        <f>IF(AG$2=Inputs!$Q$44,'Cash Flow'!$E$125,0)</f>
        <v>0</v>
      </c>
      <c r="AH125" s="242">
        <f>IF(AH$2=Inputs!$Q$44,'Cash Flow'!$E$125,0)</f>
        <v>0</v>
      </c>
      <c r="AI125" s="242">
        <f>IF(AI$2=Inputs!$Q$44,'Cash Flow'!$E$125,0)</f>
        <v>0</v>
      </c>
      <c r="AJ125" s="242">
        <f>IF(AJ$2=Inputs!$Q$44,'Cash Flow'!$E$125,0)</f>
        <v>0</v>
      </c>
    </row>
    <row r="126" spans="2:36" s="11" customFormat="1" ht="16">
      <c r="B126" s="230" t="s">
        <v>137</v>
      </c>
      <c r="C126" s="230"/>
      <c r="D126" s="230"/>
      <c r="E126" s="240"/>
      <c r="F126" s="246"/>
      <c r="G126" s="247">
        <f>IF(G125&gt;0,1,IF(F126&gt;0,F126+1,0))</f>
        <v>0</v>
      </c>
      <c r="H126" s="247">
        <f t="shared" ref="H126" si="33">IF(H125&gt;0,1,IF(G126&gt;0,G126+1,0))</f>
        <v>0</v>
      </c>
      <c r="I126" s="247">
        <f t="shared" ref="I126" si="34">IF(I125&gt;0,1,IF(H126&gt;0,H126+1,0))</f>
        <v>0</v>
      </c>
      <c r="J126" s="247">
        <f t="shared" ref="J126" si="35">IF(J125&gt;0,1,IF(I126&gt;0,I126+1,0))</f>
        <v>0</v>
      </c>
      <c r="K126" s="247">
        <f t="shared" ref="K126" si="36">IF(K125&gt;0,1,IF(J126&gt;0,J126+1,0))</f>
        <v>0</v>
      </c>
      <c r="L126" s="247">
        <f t="shared" ref="L126" si="37">IF(L125&gt;0,1,IF(K126&gt;0,K126+1,0))</f>
        <v>0</v>
      </c>
      <c r="M126" s="247">
        <f t="shared" ref="M126" si="38">IF(M125&gt;0,1,IF(L126&gt;0,L126+1,0))</f>
        <v>0</v>
      </c>
      <c r="N126" s="247">
        <f t="shared" ref="N126" si="39">IF(N125&gt;0,1,IF(M126&gt;0,M126+1,0))</f>
        <v>0</v>
      </c>
      <c r="O126" s="247">
        <f t="shared" ref="O126" si="40">IF(O125&gt;0,1,IF(N126&gt;0,N126+1,0))</f>
        <v>0</v>
      </c>
      <c r="P126" s="247">
        <f t="shared" ref="P126" si="41">IF(P125&gt;0,1,IF(O126&gt;0,O126+1,0))</f>
        <v>0</v>
      </c>
      <c r="Q126" s="247">
        <f t="shared" ref="Q126" si="42">IF(Q125&gt;0,1,IF(P126&gt;0,P126+1,0))</f>
        <v>0</v>
      </c>
      <c r="R126" s="247">
        <f t="shared" ref="R126" si="43">IF(R125&gt;0,1,IF(Q126&gt;0,Q126+1,0))</f>
        <v>0</v>
      </c>
      <c r="S126" s="247">
        <f t="shared" ref="S126" si="44">IF(S125&gt;0,1,IF(R126&gt;0,R126+1,0))</f>
        <v>0</v>
      </c>
      <c r="T126" s="247">
        <f t="shared" ref="T126" si="45">IF(T125&gt;0,1,IF(S126&gt;0,S126+1,0))</f>
        <v>0</v>
      </c>
      <c r="U126" s="247">
        <f t="shared" ref="U126" si="46">IF(U125&gt;0,1,IF(T126&gt;0,T126+1,0))</f>
        <v>0</v>
      </c>
      <c r="V126" s="247">
        <f t="shared" ref="V126" si="47">IF(V125&gt;0,1,IF(U126&gt;0,U126+1,0))</f>
        <v>0</v>
      </c>
      <c r="W126" s="247">
        <f t="shared" ref="W126" si="48">IF(W125&gt;0,1,IF(V126&gt;0,V126+1,0))</f>
        <v>0</v>
      </c>
      <c r="X126" s="247">
        <f t="shared" ref="X126" si="49">IF(X125&gt;0,1,IF(W126&gt;0,W126+1,0))</f>
        <v>0</v>
      </c>
      <c r="Y126" s="247">
        <f t="shared" ref="Y126" si="50">IF(Y125&gt;0,1,IF(X126&gt;0,X126+1,0))</f>
        <v>0</v>
      </c>
      <c r="Z126" s="247">
        <f t="shared" ref="Z126" si="51">IF(Z125&gt;0,1,IF(Y126&gt;0,Y126+1,0))</f>
        <v>0</v>
      </c>
      <c r="AA126" s="247">
        <f t="shared" ref="AA126" si="52">IF(AA125&gt;0,1,IF(Z126&gt;0,Z126+1,0))</f>
        <v>0</v>
      </c>
      <c r="AB126" s="247">
        <f t="shared" ref="AB126" si="53">IF(AB125&gt;0,1,IF(AA126&gt;0,AA126+1,0))</f>
        <v>0</v>
      </c>
      <c r="AC126" s="247">
        <f t="shared" ref="AC126" si="54">IF(AC125&gt;0,1,IF(AB126&gt;0,AB126+1,0))</f>
        <v>0</v>
      </c>
      <c r="AD126" s="247">
        <f t="shared" ref="AD126" si="55">IF(AD125&gt;0,1,IF(AC126&gt;0,AC126+1,0))</f>
        <v>0</v>
      </c>
      <c r="AE126" s="247">
        <f t="shared" ref="AE126" si="56">IF(AE125&gt;0,1,IF(AD126&gt;0,AD126+1,0))</f>
        <v>0</v>
      </c>
      <c r="AF126" s="247">
        <f t="shared" ref="AF126" si="57">IF(AF125&gt;0,1,IF(AE126&gt;0,AE126+1,0))</f>
        <v>0</v>
      </c>
      <c r="AG126" s="247">
        <f t="shared" ref="AG126" si="58">IF(AG125&gt;0,1,IF(AF126&gt;0,AF126+1,0))</f>
        <v>0</v>
      </c>
      <c r="AH126" s="247">
        <f t="shared" ref="AH126" si="59">IF(AH125&gt;0,1,IF(AG126&gt;0,AG126+1,0))</f>
        <v>0</v>
      </c>
      <c r="AI126" s="247">
        <f t="shared" ref="AI126" si="60">IF(AI125&gt;0,1,IF(AH126&gt;0,AH126+1,0))</f>
        <v>0</v>
      </c>
      <c r="AJ126" s="247">
        <f t="shared" ref="AJ126" si="61">IF(AJ125&gt;0,1,IF(AI126&gt;0,AI126+1,0))</f>
        <v>0</v>
      </c>
    </row>
    <row r="127" spans="2:36" s="11" customFormat="1" ht="16">
      <c r="B127" s="230" t="s">
        <v>138</v>
      </c>
      <c r="C127" s="230"/>
      <c r="D127" s="230"/>
      <c r="E127" s="240"/>
      <c r="F127" s="246"/>
      <c r="G127" s="242">
        <f t="shared" ref="G127:AJ127" si="62">IF(G126=0,0,$E$125*LOOKUP(G126,$G$100:$AJ$100,$G$102:$AJ$102))</f>
        <v>0</v>
      </c>
      <c r="H127" s="242">
        <f t="shared" si="62"/>
        <v>0</v>
      </c>
      <c r="I127" s="242">
        <f t="shared" si="62"/>
        <v>0</v>
      </c>
      <c r="J127" s="242">
        <f t="shared" si="62"/>
        <v>0</v>
      </c>
      <c r="K127" s="242">
        <f t="shared" si="62"/>
        <v>0</v>
      </c>
      <c r="L127" s="242">
        <f t="shared" si="62"/>
        <v>0</v>
      </c>
      <c r="M127" s="242">
        <f t="shared" si="62"/>
        <v>0</v>
      </c>
      <c r="N127" s="242">
        <f t="shared" si="62"/>
        <v>0</v>
      </c>
      <c r="O127" s="242">
        <f t="shared" si="62"/>
        <v>0</v>
      </c>
      <c r="P127" s="242">
        <f t="shared" si="62"/>
        <v>0</v>
      </c>
      <c r="Q127" s="242">
        <f t="shared" si="62"/>
        <v>0</v>
      </c>
      <c r="R127" s="242">
        <f t="shared" si="62"/>
        <v>0</v>
      </c>
      <c r="S127" s="242">
        <f t="shared" si="62"/>
        <v>0</v>
      </c>
      <c r="T127" s="242">
        <f t="shared" si="62"/>
        <v>0</v>
      </c>
      <c r="U127" s="242">
        <f t="shared" si="62"/>
        <v>0</v>
      </c>
      <c r="V127" s="242">
        <f t="shared" si="62"/>
        <v>0</v>
      </c>
      <c r="W127" s="242">
        <f t="shared" si="62"/>
        <v>0</v>
      </c>
      <c r="X127" s="242">
        <f t="shared" si="62"/>
        <v>0</v>
      </c>
      <c r="Y127" s="242">
        <f t="shared" si="62"/>
        <v>0</v>
      </c>
      <c r="Z127" s="242">
        <f t="shared" si="62"/>
        <v>0</v>
      </c>
      <c r="AA127" s="242">
        <f t="shared" si="62"/>
        <v>0</v>
      </c>
      <c r="AB127" s="242">
        <f t="shared" si="62"/>
        <v>0</v>
      </c>
      <c r="AC127" s="242">
        <f t="shared" si="62"/>
        <v>0</v>
      </c>
      <c r="AD127" s="242">
        <f t="shared" si="62"/>
        <v>0</v>
      </c>
      <c r="AE127" s="242">
        <f t="shared" si="62"/>
        <v>0</v>
      </c>
      <c r="AF127" s="242">
        <f t="shared" si="62"/>
        <v>0</v>
      </c>
      <c r="AG127" s="242">
        <f t="shared" si="62"/>
        <v>0</v>
      </c>
      <c r="AH127" s="242">
        <f t="shared" si="62"/>
        <v>0</v>
      </c>
      <c r="AI127" s="242">
        <f t="shared" si="62"/>
        <v>0</v>
      </c>
      <c r="AJ127" s="242">
        <f t="shared" si="62"/>
        <v>0</v>
      </c>
    </row>
    <row r="128" spans="2:36" s="11" customFormat="1" ht="16">
      <c r="B128" s="245"/>
      <c r="C128" s="245"/>
      <c r="D128" s="245"/>
      <c r="E128" s="240"/>
      <c r="F128" s="246"/>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row>
    <row r="129" spans="2:36" s="11" customFormat="1" ht="16">
      <c r="B129" s="230" t="s">
        <v>206</v>
      </c>
      <c r="C129" s="230"/>
      <c r="D129" s="230"/>
      <c r="E129" s="239"/>
      <c r="F129" s="278"/>
      <c r="G129" s="248">
        <f>IF(AND(Inputs!$Q$104="Yes",G$2&lt;=Inputs!$G$17),SUM('Cash Flow'!G114:G117)+G124+G127,0)</f>
        <v>16705499.08124423</v>
      </c>
      <c r="H129" s="248">
        <f>IF(AND(Inputs!$Q$104="Yes",H$2&lt;=Inputs!$G$17),SUM('Cash Flow'!H114:H117)+H124+H127,0)</f>
        <v>26777337.63408494</v>
      </c>
      <c r="I129" s="248">
        <f>IF(AND(Inputs!$Q$104="Yes",I$2&lt;=Inputs!$G$17),SUM('Cash Flow'!I114:I117)+I124+I127,0)</f>
        <v>16162162.960204566</v>
      </c>
      <c r="J129" s="248">
        <f>IF(AND(Inputs!$Q$104="Yes",J$2&lt;=Inputs!$G$17),SUM('Cash Flow'!J114:J117)+J124+J127,0)</f>
        <v>9790598.2094648443</v>
      </c>
      <c r="K129" s="248">
        <f>IF(AND(Inputs!$Q$104="Yes",K$2&lt;=Inputs!$G$17),SUM('Cash Flow'!K114:K117)+K124+K127,0)</f>
        <v>9783833.3568332177</v>
      </c>
      <c r="L129" s="248">
        <f>IF(AND(Inputs!$Q$104="Yes",L$2&lt;=Inputs!$G$17),SUM('Cash Flow'!L114:L117)+L124+L127,0)</f>
        <v>5004610.6985972878</v>
      </c>
      <c r="M129" s="248">
        <f>IF(AND(Inputs!$Q$104="Yes",M$2&lt;=Inputs!$G$17),SUM('Cash Flow'!M114:M117)+M124+M127,0)</f>
        <v>228638.68383369726</v>
      </c>
      <c r="N129" s="248">
        <f>IF(AND(Inputs!$Q$104="Yes",N$2&lt;=Inputs!$G$17),SUM('Cash Flow'!N114:N117)+N124+N127,0)</f>
        <v>228638.68383369726</v>
      </c>
      <c r="O129" s="248">
        <f>IF(AND(Inputs!$Q$104="Yes",O$2&lt;=Inputs!$G$17),SUM('Cash Flow'!O114:O117)+O124+O127,0)</f>
        <v>228726.53906267943</v>
      </c>
      <c r="P129" s="248">
        <f>IF(AND(Inputs!$Q$104="Yes",P$2&lt;=Inputs!$G$17),SUM('Cash Flow'!P114:P117)+P124+P127,0)</f>
        <v>228638.68383369726</v>
      </c>
      <c r="Q129" s="248">
        <f>IF(AND(Inputs!$Q$104="Yes",Q$2&lt;=Inputs!$G$17),SUM('Cash Flow'!Q114:Q117)+Q124+Q127,0)</f>
        <v>228726.53906267943</v>
      </c>
      <c r="R129" s="248">
        <f>IF(AND(Inputs!$Q$104="Yes",R$2&lt;=Inputs!$G$17),SUM('Cash Flow'!R114:R117)+R124+R127,0)</f>
        <v>228638.68383369726</v>
      </c>
      <c r="S129" s="248">
        <f>IF(AND(Inputs!$Q$104="Yes",S$2&lt;=Inputs!$G$17),SUM('Cash Flow'!S114:S117)+S124+S127,0)</f>
        <v>228726.53906267943</v>
      </c>
      <c r="T129" s="248">
        <f>IF(AND(Inputs!$Q$104="Yes",T$2&lt;=Inputs!$G$17),SUM('Cash Flow'!T114:T117)+T124+T127,0)</f>
        <v>228638.68383369726</v>
      </c>
      <c r="U129" s="248">
        <f>IF(AND(Inputs!$Q$104="Yes",U$2&lt;=Inputs!$G$17),SUM('Cash Flow'!U114:U117)+U124+U127,0)</f>
        <v>228726.53906267943</v>
      </c>
      <c r="V129" s="248">
        <f>IF(AND(Inputs!$Q$104="Yes",V$2&lt;=Inputs!$G$17),SUM('Cash Flow'!V114:V117)+V124+V127,0)</f>
        <v>202721.3912839618</v>
      </c>
      <c r="W129" s="248">
        <f>IF(AND(Inputs!$Q$104="Yes",W$2&lt;=Inputs!$G$17),SUM('Cash Flow'!W114:W117)+W124+W127,0)</f>
        <v>176804.09873422634</v>
      </c>
      <c r="X129" s="248">
        <f>IF(AND(Inputs!$Q$104="Yes",X$2&lt;=Inputs!$G$17),SUM('Cash Flow'!X114:X117)+X124+X127,0)</f>
        <v>176804.09873422634</v>
      </c>
      <c r="Y129" s="248">
        <f>IF(AND(Inputs!$Q$104="Yes",Y$2&lt;=Inputs!$G$17),SUM('Cash Flow'!Y114:Y117)+Y124+Y127,0)</f>
        <v>176804.09873422634</v>
      </c>
      <c r="Z129" s="248">
        <f>IF(AND(Inputs!$Q$104="Yes",Z$2&lt;=Inputs!$G$17),SUM('Cash Flow'!Z114:Z117)+Z124+Z127,0)</f>
        <v>176804.09873422634</v>
      </c>
      <c r="AA129" s="248">
        <f>IF(AND(Inputs!$Q$104="Yes",AA$2&lt;=Inputs!$G$17),SUM('Cash Flow'!AA114:AA117)+AA124+AA127,0)</f>
        <v>88402.04936711317</v>
      </c>
      <c r="AB129" s="248">
        <f>IF(AND(Inputs!$Q$104="Yes",AB$2&lt;=Inputs!$G$17),SUM('Cash Flow'!AB114:AB117)+AB124+AB127,0)</f>
        <v>0</v>
      </c>
      <c r="AC129" s="248">
        <f>IF(AND(Inputs!$Q$104="Yes",AC$2&lt;=Inputs!$G$17),SUM('Cash Flow'!AC114:AC117)+AC124+AC127,0)</f>
        <v>0</v>
      </c>
      <c r="AD129" s="248">
        <f>IF(AND(Inputs!$Q$104="Yes",AD$2&lt;=Inputs!$G$17),SUM('Cash Flow'!AD114:AD117)+AD124+AD127,0)</f>
        <v>0</v>
      </c>
      <c r="AE129" s="248">
        <f>IF(AND(Inputs!$Q$104="Yes",AE$2&lt;=Inputs!$G$17),SUM('Cash Flow'!AE114:AE117)+AE124+AE127,0)</f>
        <v>0</v>
      </c>
      <c r="AF129" s="248">
        <f>IF(AND(Inputs!$Q$104="Yes",AF$2&lt;=Inputs!$G$17),SUM('Cash Flow'!AF114:AF117)+AF124+AF127,0)</f>
        <v>0</v>
      </c>
      <c r="AG129" s="248">
        <f>IF(AND(Inputs!$Q$104="Yes",AG$2&lt;=Inputs!$G$17),SUM('Cash Flow'!AG114:AG117)+AG124+AG127,0)</f>
        <v>0</v>
      </c>
      <c r="AH129" s="248">
        <f>IF(AND(Inputs!$Q$104="Yes",AH$2&lt;=Inputs!$G$17),SUM('Cash Flow'!AH114:AH117)+AH124+AH127,0)</f>
        <v>0</v>
      </c>
      <c r="AI129" s="248">
        <f>IF(AND(Inputs!$Q$104="Yes",AI$2&lt;=Inputs!$G$17),SUM('Cash Flow'!AI114:AI117)+AI124+AI127,0)</f>
        <v>0</v>
      </c>
      <c r="AJ129" s="248">
        <f>IF(AND(Inputs!$Q$104="Yes",AJ$2&lt;=Inputs!$G$17),SUM('Cash Flow'!AJ114:AJ117)+AJ124+AJ127,0)</f>
        <v>0</v>
      </c>
    </row>
    <row r="130" spans="2:36" s="11" customFormat="1" ht="16">
      <c r="B130" s="230"/>
      <c r="C130" s="230"/>
      <c r="D130" s="230"/>
      <c r="E130" s="239"/>
      <c r="F130" s="27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row>
    <row r="131" spans="2:36" s="11" customFormat="1" ht="16">
      <c r="B131" s="230" t="s">
        <v>162</v>
      </c>
      <c r="C131" s="230"/>
      <c r="D131" s="230"/>
      <c r="E131" s="239"/>
      <c r="F131" s="278"/>
      <c r="G131" s="250">
        <f>G129*Inputs!$Q$109</f>
        <v>6769903.5026742239</v>
      </c>
      <c r="H131" s="250">
        <f>H129*Inputs!$Q$109</f>
        <v>10851516.076212922</v>
      </c>
      <c r="I131" s="250">
        <f>I129*Inputs!$Q$109</f>
        <v>6549716.5396229001</v>
      </c>
      <c r="J131" s="250">
        <f>J129*Inputs!$Q$109</f>
        <v>3967639.9243856282</v>
      </c>
      <c r="K131" s="250">
        <f>K129*Inputs!$Q$109</f>
        <v>3964898.4678566614</v>
      </c>
      <c r="L131" s="250">
        <f>L129*Inputs!$Q$109</f>
        <v>2028118.4856065509</v>
      </c>
      <c r="M131" s="250">
        <f>M129*Inputs!$Q$109</f>
        <v>92655.826623605812</v>
      </c>
      <c r="N131" s="250">
        <f>N129*Inputs!$Q$109</f>
        <v>92655.826623605812</v>
      </c>
      <c r="O131" s="250">
        <f>O129*Inputs!$Q$109</f>
        <v>92691.42995515083</v>
      </c>
      <c r="P131" s="250">
        <f>P129*Inputs!$Q$109</f>
        <v>92655.826623605812</v>
      </c>
      <c r="Q131" s="250">
        <f>Q129*Inputs!$Q$109</f>
        <v>92691.42995515083</v>
      </c>
      <c r="R131" s="250">
        <f>R129*Inputs!$Q$109</f>
        <v>92655.826623605812</v>
      </c>
      <c r="S131" s="250">
        <f>S129*Inputs!$Q$109</f>
        <v>92691.42995515083</v>
      </c>
      <c r="T131" s="250">
        <f>T129*Inputs!$Q$109</f>
        <v>92655.826623605812</v>
      </c>
      <c r="U131" s="250">
        <f>U129*Inputs!$Q$109</f>
        <v>92691.42995515083</v>
      </c>
      <c r="V131" s="250">
        <f>V129*Inputs!$Q$109</f>
        <v>82152.843817825516</v>
      </c>
      <c r="W131" s="250">
        <f>W129*Inputs!$Q$109</f>
        <v>71649.861012045221</v>
      </c>
      <c r="X131" s="250">
        <f>X129*Inputs!$Q$109</f>
        <v>71649.861012045221</v>
      </c>
      <c r="Y131" s="250">
        <f>Y129*Inputs!$Q$109</f>
        <v>71649.861012045221</v>
      </c>
      <c r="Z131" s="250">
        <f>Z129*Inputs!$Q$109</f>
        <v>71649.861012045221</v>
      </c>
      <c r="AA131" s="250">
        <f>AA129*Inputs!$Q$109</f>
        <v>35824.930506022611</v>
      </c>
      <c r="AB131" s="250">
        <f>AB129*Inputs!$Q$109</f>
        <v>0</v>
      </c>
      <c r="AC131" s="250">
        <f>AC129*Inputs!$Q$109</f>
        <v>0</v>
      </c>
      <c r="AD131" s="250">
        <f>AD129*Inputs!$Q$109</f>
        <v>0</v>
      </c>
      <c r="AE131" s="250">
        <f>AE129*Inputs!$Q$109</f>
        <v>0</v>
      </c>
      <c r="AF131" s="250">
        <f>AF129*Inputs!$Q$109</f>
        <v>0</v>
      </c>
      <c r="AG131" s="250">
        <f>AG129*Inputs!$Q$109</f>
        <v>0</v>
      </c>
      <c r="AH131" s="250">
        <f>AH129*Inputs!$Q$109</f>
        <v>0</v>
      </c>
      <c r="AI131" s="250">
        <f>AI129*Inputs!$Q$109</f>
        <v>0</v>
      </c>
      <c r="AJ131" s="250">
        <f>AJ129*Inputs!$Q$109</f>
        <v>0</v>
      </c>
    </row>
    <row r="132" spans="2:36" s="11" customFormat="1" ht="17" thickBot="1">
      <c r="B132" s="251"/>
      <c r="C132" s="251"/>
      <c r="D132" s="251"/>
      <c r="E132" s="252"/>
      <c r="F132" s="252"/>
      <c r="G132" s="253"/>
      <c r="H132" s="254"/>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row>
    <row r="133" spans="2:36" s="11" customFormat="1" ht="16">
      <c r="B133" s="711"/>
      <c r="C133" s="711"/>
      <c r="D133" s="711"/>
      <c r="E133" s="245"/>
      <c r="F133" s="245"/>
      <c r="G133" s="255"/>
      <c r="H133" s="256"/>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row>
    <row r="134" spans="2:36" s="11" customFormat="1" ht="16">
      <c r="B134" s="229" t="s">
        <v>405</v>
      </c>
      <c r="C134" s="234"/>
      <c r="D134" s="230"/>
      <c r="E134" s="234"/>
      <c r="F134" s="230"/>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row>
    <row r="135" spans="2:36" s="11" customFormat="1" ht="16">
      <c r="B135" s="229"/>
      <c r="C135" s="234"/>
      <c r="D135" s="230"/>
      <c r="E135" s="234"/>
      <c r="F135" s="230"/>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row>
    <row r="136" spans="2:36" s="11" customFormat="1" ht="16">
      <c r="B136" s="229" t="s">
        <v>404</v>
      </c>
      <c r="C136" s="234"/>
      <c r="D136" s="230"/>
      <c r="E136" s="234"/>
      <c r="F136" s="230"/>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row>
    <row r="137" spans="2:36" s="11" customFormat="1" ht="16">
      <c r="B137" s="245" t="s">
        <v>393</v>
      </c>
      <c r="C137" s="311">
        <f>IF(Inputs!$G$20="Simple",Inputs!$G$75*Inputs!$V$91,IF(Inputs!$G$20="Intermediate",(Inputs!$G$32*Inputs!$V$92)+((Inputs!$G$49+Inputs!$G$64)*Inputs!$V$93),(Inputs!$G$32*Inputs!$V$92)+'Complex Inputs'!$J$121))</f>
        <v>11735540.33953125</v>
      </c>
      <c r="D137" s="686"/>
      <c r="E137" s="311">
        <f>IF(Inputs!$G$20="Simple",Inputs!$G$75*Inputs!$V$91,IF(Inputs!$G$20="Intermediate",(Inputs!$G$32*Inputs!$V$92)+((Inputs!$G$49+Inputs!$G$64)*Inputs!$V$93),(Inputs!$G$32*Inputs!$V$92)+'Complex Inputs'!$J$121))</f>
        <v>11735540.33953125</v>
      </c>
      <c r="F137" s="235"/>
      <c r="G137" s="241">
        <f>IF(G100&gt;Inputs!$G$17,0,'Cash Flow'!$E$137/Inputs!$G$17)</f>
        <v>469421.61358125001</v>
      </c>
      <c r="H137" s="241">
        <f>IF(H100&gt;Inputs!$G$17,0,'Cash Flow'!$E$137/Inputs!$G$17)</f>
        <v>469421.61358125001</v>
      </c>
      <c r="I137" s="241">
        <f>IF(I100&gt;Inputs!$G$17,0,'Cash Flow'!$E$137/Inputs!$G$17)</f>
        <v>469421.61358125001</v>
      </c>
      <c r="J137" s="241">
        <f>IF(J100&gt;Inputs!$G$17,0,'Cash Flow'!$E$137/Inputs!$G$17)</f>
        <v>469421.61358125001</v>
      </c>
      <c r="K137" s="241">
        <f>IF(K100&gt;Inputs!$G$17,0,'Cash Flow'!$E$137/Inputs!$G$17)</f>
        <v>469421.61358125001</v>
      </c>
      <c r="L137" s="241">
        <f>IF(L100&gt;Inputs!$G$17,0,'Cash Flow'!$E$137/Inputs!$G$17)</f>
        <v>469421.61358125001</v>
      </c>
      <c r="M137" s="241">
        <f>IF(M100&gt;Inputs!$G$17,0,'Cash Flow'!$E$137/Inputs!$G$17)</f>
        <v>469421.61358125001</v>
      </c>
      <c r="N137" s="241">
        <f>IF(N100&gt;Inputs!$G$17,0,'Cash Flow'!$E$137/Inputs!$G$17)</f>
        <v>469421.61358125001</v>
      </c>
      <c r="O137" s="241">
        <f>IF(O100&gt;Inputs!$G$17,0,'Cash Flow'!$E$137/Inputs!$G$17)</f>
        <v>469421.61358125001</v>
      </c>
      <c r="P137" s="241">
        <f>IF(P100&gt;Inputs!$G$17,0,'Cash Flow'!$E$137/Inputs!$G$17)</f>
        <v>469421.61358125001</v>
      </c>
      <c r="Q137" s="241">
        <f>IF(Q100&gt;Inputs!$G$17,0,'Cash Flow'!$E$137/Inputs!$G$17)</f>
        <v>469421.61358125001</v>
      </c>
      <c r="R137" s="241">
        <f>IF(R100&gt;Inputs!$G$17,0,'Cash Flow'!$E$137/Inputs!$G$17)</f>
        <v>469421.61358125001</v>
      </c>
      <c r="S137" s="241">
        <f>IF(S100&gt;Inputs!$G$17,0,'Cash Flow'!$E$137/Inputs!$G$17)</f>
        <v>469421.61358125001</v>
      </c>
      <c r="T137" s="241">
        <f>IF(T100&gt;Inputs!$G$17,0,'Cash Flow'!$E$137/Inputs!$G$17)</f>
        <v>469421.61358125001</v>
      </c>
      <c r="U137" s="241">
        <f>IF(U100&gt;Inputs!$G$17,0,'Cash Flow'!$E$137/Inputs!$G$17)</f>
        <v>469421.61358125001</v>
      </c>
      <c r="V137" s="241">
        <f>IF(V100&gt;Inputs!$G$17,0,'Cash Flow'!$E$137/Inputs!$G$17)</f>
        <v>469421.61358125001</v>
      </c>
      <c r="W137" s="241">
        <f>IF(W100&gt;Inputs!$G$17,0,'Cash Flow'!$E$137/Inputs!$G$17)</f>
        <v>469421.61358125001</v>
      </c>
      <c r="X137" s="241">
        <f>IF(X100&gt;Inputs!$G$17,0,'Cash Flow'!$E$137/Inputs!$G$17)</f>
        <v>469421.61358125001</v>
      </c>
      <c r="Y137" s="241">
        <f>IF(Y100&gt;Inputs!$G$17,0,'Cash Flow'!$E$137/Inputs!$G$17)</f>
        <v>469421.61358125001</v>
      </c>
      <c r="Z137" s="241">
        <f>IF(Z100&gt;Inputs!$G$17,0,'Cash Flow'!$E$137/Inputs!$G$17)</f>
        <v>469421.61358125001</v>
      </c>
      <c r="AA137" s="241">
        <f>IF(AA100&gt;Inputs!$G$17,0,'Cash Flow'!$E$137/Inputs!$G$17)</f>
        <v>469421.61358125001</v>
      </c>
      <c r="AB137" s="241">
        <f>IF(AB100&gt;Inputs!$G$17,0,'Cash Flow'!$E$137/Inputs!$G$17)</f>
        <v>469421.61358125001</v>
      </c>
      <c r="AC137" s="241">
        <f>IF(AC100&gt;Inputs!$G$17,0,'Cash Flow'!$E$137/Inputs!$G$17)</f>
        <v>469421.61358125001</v>
      </c>
      <c r="AD137" s="241">
        <f>IF(AD100&gt;Inputs!$G$17,0,'Cash Flow'!$E$137/Inputs!$G$17)</f>
        <v>469421.61358125001</v>
      </c>
      <c r="AE137" s="241">
        <f>IF(AE100&gt;Inputs!$G$17,0,'Cash Flow'!$E$137/Inputs!$G$17)</f>
        <v>469421.61358125001</v>
      </c>
      <c r="AF137" s="241">
        <f>IF(AF100&gt;Inputs!$G$17,0,'Cash Flow'!$E$137/Inputs!$G$17)</f>
        <v>0</v>
      </c>
      <c r="AG137" s="241">
        <f>IF(AG100&gt;Inputs!$G$17,0,'Cash Flow'!$E$137/Inputs!$G$17)</f>
        <v>0</v>
      </c>
      <c r="AH137" s="241">
        <f>IF(AH100&gt;Inputs!$G$17,0,'Cash Flow'!$E$137/Inputs!$G$17)</f>
        <v>0</v>
      </c>
      <c r="AI137" s="241">
        <f>IF(AI100&gt;Inputs!$G$17,0,'Cash Flow'!$E$137/Inputs!$G$17)</f>
        <v>0</v>
      </c>
      <c r="AJ137" s="241">
        <f>IF(AJ100&gt;Inputs!$G$17,0,'Cash Flow'!$E$137/Inputs!$G$17)</f>
        <v>0</v>
      </c>
    </row>
    <row r="138" spans="2:36" s="11" customFormat="1" ht="16">
      <c r="B138" s="243" t="s">
        <v>394</v>
      </c>
      <c r="C138" s="706"/>
      <c r="D138" s="707"/>
      <c r="E138" s="706"/>
      <c r="F138" s="709"/>
      <c r="G138" s="708">
        <f>MAX(0,MIN(Inputs!$P$101*(G23-G37)*Inputs!$P$100,G141))</f>
        <v>0</v>
      </c>
      <c r="H138" s="708">
        <f>MAX(0,MIN(Inputs!$P$101*(H23-H37)*Inputs!$P$100,H141))</f>
        <v>0</v>
      </c>
      <c r="I138" s="708">
        <f>MAX(0,MIN(Inputs!$P$101*(I23-I37)*Inputs!$P$100,I141))</f>
        <v>0</v>
      </c>
      <c r="J138" s="708">
        <f>MAX(0,MIN(Inputs!$P$101*(J23-J37)*Inputs!$P$100,J141))</f>
        <v>1006593.7754807808</v>
      </c>
      <c r="K138" s="708">
        <f>MAX(0,MIN(Inputs!$P$101*(K23-K37)*Inputs!$P$100,K141))</f>
        <v>1037351.4815835785</v>
      </c>
      <c r="L138" s="708">
        <f>MAX(0,MIN(Inputs!$P$101*(L23-L37)*Inputs!$P$100,L141))</f>
        <v>1104185.3257772729</v>
      </c>
      <c r="M138" s="708">
        <f>MAX(0,MIN(Inputs!$P$101*(M23-M37)*Inputs!$P$100,M141))</f>
        <v>1098690.0773570591</v>
      </c>
      <c r="N138" s="708">
        <f>MAX(0,MIN(Inputs!$P$101*(N23-N37)*Inputs!$P$100,N141))</f>
        <v>1093222.3051789463</v>
      </c>
      <c r="O138" s="708">
        <f>MAX(0,MIN(Inputs!$P$101*(O23-O37)*Inputs!$P$100,O141))</f>
        <v>1087781.8718617242</v>
      </c>
      <c r="P138" s="708">
        <f>MAX(0,MIN(Inputs!$P$101*(P23-P37)*Inputs!$P$100,P141))</f>
        <v>1082368.6407110884</v>
      </c>
      <c r="Q138" s="708">
        <f>MAX(0,MIN(Inputs!$P$101*(Q23-Q37)*Inputs!$P$100,Q141))</f>
        <v>1076982.4757162058</v>
      </c>
      <c r="R138" s="708">
        <f>MAX(0,MIN(Inputs!$P$101*(R23-R37)*Inputs!$P$100,R141))</f>
        <v>1062840.6421748574</v>
      </c>
      <c r="S138" s="708">
        <f>MAX(0,MIN(Inputs!$P$101*(S23-S37)*Inputs!$P$100,S141))</f>
        <v>1031109.4921616476</v>
      </c>
      <c r="T138" s="708">
        <f>MAX(0,MIN(Inputs!$P$101*(T23-T37)*Inputs!$P$100,T141))</f>
        <v>1000330.276648834</v>
      </c>
      <c r="U138" s="708">
        <f>MAX(0,MIN(Inputs!$P$101*(U23-U37)*Inputs!$P$100,U141))</f>
        <v>970474.4376014052</v>
      </c>
      <c r="V138" s="708">
        <f>MAX(0,MIN(Inputs!$P$101*(V23-V37)*Inputs!$P$100,V141))</f>
        <v>940026.387964183</v>
      </c>
      <c r="W138" s="708">
        <f>MAX(0,MIN(Inputs!$P$101*(W23-W37)*Inputs!$P$100,W141))</f>
        <v>910447.14324324159</v>
      </c>
      <c r="X138" s="708">
        <f>MAX(0,MIN(Inputs!$P$101*(X23-X37)*Inputs!$P$100,X141))</f>
        <v>883198.52505230752</v>
      </c>
      <c r="Y138" s="708">
        <f>MAX(0,MIN(Inputs!$P$101*(Y23-Y37)*Inputs!$P$100,Y141))</f>
        <v>856767.36540710134</v>
      </c>
      <c r="Z138" s="708">
        <f>MAX(0,MIN(Inputs!$P$101*(Z23-Z37)*Inputs!$P$100,Z141))</f>
        <v>942123.82707756723</v>
      </c>
      <c r="AA138" s="708">
        <f>MAX(0,MIN(Inputs!$P$101*(AA23-AA37)*Inputs!$P$100,AA141))</f>
        <v>64158.032700897595</v>
      </c>
      <c r="AB138" s="708">
        <f>MAX(0,MIN(Inputs!$P$101*(AB23-AB37)*Inputs!$P$100,AB141))</f>
        <v>92679.553053222597</v>
      </c>
      <c r="AC138" s="708">
        <f>MAX(0,MIN(Inputs!$P$101*(AC23-AC37)*Inputs!$P$100,AC141))</f>
        <v>76879.222620633896</v>
      </c>
      <c r="AD138" s="708">
        <f>MAX(0,MIN(Inputs!$P$101*(AD23-AD37)*Inputs!$P$100,AD141))</f>
        <v>60953.606266418006</v>
      </c>
      <c r="AE138" s="708">
        <f>MAX(0,MIN(Inputs!$P$101*(AE23-AE37)*Inputs!$P$100,AE141))</f>
        <v>34613.080384750385</v>
      </c>
      <c r="AF138" s="708">
        <f>MAX(0,MIN(Inputs!$P$101*(AF23-AF37)*Inputs!$P$100,AF141))</f>
        <v>0</v>
      </c>
      <c r="AG138" s="708">
        <f>MAX(0,MIN(Inputs!$P$101*(AG23-AG37)*Inputs!$P$100,AG141))</f>
        <v>0</v>
      </c>
      <c r="AH138" s="708">
        <f>MAX(0,MIN(Inputs!$P$101*(AH23-AH37)*Inputs!$P$100,AH141))</f>
        <v>0</v>
      </c>
      <c r="AI138" s="708">
        <f>MAX(0,MIN(Inputs!$P$101*(AI23-AI37)*Inputs!$P$100,AI141))</f>
        <v>0</v>
      </c>
      <c r="AJ138" s="708">
        <f>MAX(0,MIN(Inputs!$P$101*(AJ23-AJ37)*Inputs!$P$100,AJ141))</f>
        <v>0</v>
      </c>
    </row>
    <row r="139" spans="2:36" s="11" customFormat="1" ht="16">
      <c r="B139" s="701" t="s">
        <v>400</v>
      </c>
      <c r="C139" s="311"/>
      <c r="D139" s="686"/>
      <c r="E139" s="311"/>
      <c r="F139" s="235"/>
      <c r="G139" s="241">
        <f>IF(Inputs!$V$100="Percentage Method",'Cash Flow'!G138,IF(AND(Inputs!$V$100="Cost Method",'Cash Flow'!G100&gt;=Inputs!$V$101),'Cash Flow'!G138,'Cash Flow'!G137))</f>
        <v>469421.61358125001</v>
      </c>
      <c r="H139" s="241">
        <f>IF(Inputs!$V$100="Percentage Method",'Cash Flow'!H138,IF(AND(Inputs!$V$100="Cost Method",'Cash Flow'!H100&gt;=Inputs!$V$101),'Cash Flow'!H138,'Cash Flow'!H137))</f>
        <v>469421.61358125001</v>
      </c>
      <c r="I139" s="241">
        <f>IF(Inputs!$V$100="Percentage Method",'Cash Flow'!I138,IF(AND(Inputs!$V$100="Cost Method",'Cash Flow'!I100&gt;=Inputs!$V$101),'Cash Flow'!I138,'Cash Flow'!I137))</f>
        <v>469421.61358125001</v>
      </c>
      <c r="J139" s="241">
        <f>IF(Inputs!$V$100="Percentage Method",'Cash Flow'!J138,IF(AND(Inputs!$V$100="Cost Method",'Cash Flow'!J100&gt;=Inputs!$V$101),'Cash Flow'!J138,'Cash Flow'!J137))</f>
        <v>1006593.7754807808</v>
      </c>
      <c r="K139" s="241">
        <f>IF(Inputs!$V$100="Percentage Method",'Cash Flow'!K138,IF(AND(Inputs!$V$100="Cost Method",'Cash Flow'!K100&gt;=Inputs!$V$101),'Cash Flow'!K138,'Cash Flow'!K137))</f>
        <v>1037351.4815835785</v>
      </c>
      <c r="L139" s="241">
        <f>IF(Inputs!$V$100="Percentage Method",'Cash Flow'!L138,IF(AND(Inputs!$V$100="Cost Method",'Cash Flow'!L100&gt;=Inputs!$V$101),'Cash Flow'!L138,'Cash Flow'!L137))</f>
        <v>1104185.3257772729</v>
      </c>
      <c r="M139" s="241">
        <f>IF(Inputs!$V$100="Percentage Method",'Cash Flow'!M138,IF(AND(Inputs!$V$100="Cost Method",'Cash Flow'!M100&gt;=Inputs!$V$101),'Cash Flow'!M138,'Cash Flow'!M137))</f>
        <v>1098690.0773570591</v>
      </c>
      <c r="N139" s="241">
        <f>IF(Inputs!$V$100="Percentage Method",'Cash Flow'!N138,IF(AND(Inputs!$V$100="Cost Method",'Cash Flow'!N100&gt;=Inputs!$V$101),'Cash Flow'!N138,'Cash Flow'!N137))</f>
        <v>1093222.3051789463</v>
      </c>
      <c r="O139" s="241">
        <f>IF(Inputs!$V$100="Percentage Method",'Cash Flow'!O138,IF(AND(Inputs!$V$100="Cost Method",'Cash Flow'!O100&gt;=Inputs!$V$101),'Cash Flow'!O138,'Cash Flow'!O137))</f>
        <v>1087781.8718617242</v>
      </c>
      <c r="P139" s="241">
        <f>IF(Inputs!$V$100="Percentage Method",'Cash Flow'!P138,IF(AND(Inputs!$V$100="Cost Method",'Cash Flow'!P100&gt;=Inputs!$V$101),'Cash Flow'!P138,'Cash Flow'!P137))</f>
        <v>1082368.6407110884</v>
      </c>
      <c r="Q139" s="241">
        <f>IF(Inputs!$V$100="Percentage Method",'Cash Flow'!Q138,IF(AND(Inputs!$V$100="Cost Method",'Cash Flow'!Q100&gt;=Inputs!$V$101),'Cash Flow'!Q138,'Cash Flow'!Q137))</f>
        <v>1076982.4757162058</v>
      </c>
      <c r="R139" s="241">
        <f>IF(Inputs!$V$100="Percentage Method",'Cash Flow'!R138,IF(AND(Inputs!$V$100="Cost Method",'Cash Flow'!R100&gt;=Inputs!$V$101),'Cash Flow'!R138,'Cash Flow'!R137))</f>
        <v>1062840.6421748574</v>
      </c>
      <c r="S139" s="241">
        <f>IF(Inputs!$V$100="Percentage Method",'Cash Flow'!S138,IF(AND(Inputs!$V$100="Cost Method",'Cash Flow'!S100&gt;=Inputs!$V$101),'Cash Flow'!S138,'Cash Flow'!S137))</f>
        <v>1031109.4921616476</v>
      </c>
      <c r="T139" s="241">
        <f>IF(Inputs!$V$100="Percentage Method",'Cash Flow'!T138,IF(AND(Inputs!$V$100="Cost Method",'Cash Flow'!T100&gt;=Inputs!$V$101),'Cash Flow'!T138,'Cash Flow'!T137))</f>
        <v>1000330.276648834</v>
      </c>
      <c r="U139" s="241">
        <f>IF(Inputs!$V$100="Percentage Method",'Cash Flow'!U138,IF(AND(Inputs!$V$100="Cost Method",'Cash Flow'!U100&gt;=Inputs!$V$101),'Cash Flow'!U138,'Cash Flow'!U137))</f>
        <v>970474.4376014052</v>
      </c>
      <c r="V139" s="241">
        <f>IF(Inputs!$V$100="Percentage Method",'Cash Flow'!V138,IF(AND(Inputs!$V$100="Cost Method",'Cash Flow'!V100&gt;=Inputs!$V$101),'Cash Flow'!V138,'Cash Flow'!V137))</f>
        <v>940026.387964183</v>
      </c>
      <c r="W139" s="241">
        <f>IF(Inputs!$V$100="Percentage Method",'Cash Flow'!W138,IF(AND(Inputs!$V$100="Cost Method",'Cash Flow'!W100&gt;=Inputs!$V$101),'Cash Flow'!W138,'Cash Flow'!W137))</f>
        <v>910447.14324324159</v>
      </c>
      <c r="X139" s="241">
        <f>IF(Inputs!$V$100="Percentage Method",'Cash Flow'!X138,IF(AND(Inputs!$V$100="Cost Method",'Cash Flow'!X100&gt;=Inputs!$V$101),'Cash Flow'!X138,'Cash Flow'!X137))</f>
        <v>883198.52505230752</v>
      </c>
      <c r="Y139" s="241">
        <f>IF(Inputs!$V$100="Percentage Method",'Cash Flow'!Y138,IF(AND(Inputs!$V$100="Cost Method",'Cash Flow'!Y100&gt;=Inputs!$V$101),'Cash Flow'!Y138,'Cash Flow'!Y137))</f>
        <v>856767.36540710134</v>
      </c>
      <c r="Z139" s="241">
        <f>IF(Inputs!$V$100="Percentage Method",'Cash Flow'!Z138,IF(AND(Inputs!$V$100="Cost Method",'Cash Flow'!Z100&gt;=Inputs!$V$101),'Cash Flow'!Z138,'Cash Flow'!Z137))</f>
        <v>942123.82707756723</v>
      </c>
      <c r="AA139" s="241">
        <f>IF(Inputs!$V$100="Percentage Method",'Cash Flow'!AA138,IF(AND(Inputs!$V$100="Cost Method",'Cash Flow'!AA100&gt;=Inputs!$V$101),'Cash Flow'!AA138,'Cash Flow'!AA137))</f>
        <v>64158.032700897595</v>
      </c>
      <c r="AB139" s="241">
        <f>IF(Inputs!$V$100="Percentage Method",'Cash Flow'!AB138,IF(AND(Inputs!$V$100="Cost Method",'Cash Flow'!AB100&gt;=Inputs!$V$101),'Cash Flow'!AB138,'Cash Flow'!AB137))</f>
        <v>92679.553053222597</v>
      </c>
      <c r="AC139" s="241">
        <f>IF(Inputs!$V$100="Percentage Method",'Cash Flow'!AC138,IF(AND(Inputs!$V$100="Cost Method",'Cash Flow'!AC100&gt;=Inputs!$V$101),'Cash Flow'!AC138,'Cash Flow'!AC137))</f>
        <v>76879.222620633896</v>
      </c>
      <c r="AD139" s="241">
        <f>IF(Inputs!$V$100="Percentage Method",'Cash Flow'!AD138,IF(AND(Inputs!$V$100="Cost Method",'Cash Flow'!AD100&gt;=Inputs!$V$101),'Cash Flow'!AD138,'Cash Flow'!AD137))</f>
        <v>60953.606266418006</v>
      </c>
      <c r="AE139" s="241">
        <f>IF(Inputs!$V$100="Percentage Method",'Cash Flow'!AE138,IF(AND(Inputs!$V$100="Cost Method",'Cash Flow'!AE100&gt;=Inputs!$V$101),'Cash Flow'!AE138,'Cash Flow'!AE137))</f>
        <v>34613.080384750385</v>
      </c>
      <c r="AF139" s="241">
        <f>IF(Inputs!$V$100="Percentage Method",'Cash Flow'!AF138,IF(AND(Inputs!$V$100="Cost Method",'Cash Flow'!AF100&gt;=Inputs!$V$101),'Cash Flow'!AF138,'Cash Flow'!AF137))</f>
        <v>0</v>
      </c>
      <c r="AG139" s="241">
        <f>IF(Inputs!$V$100="Percentage Method",'Cash Flow'!AG138,IF(AND(Inputs!$V$100="Cost Method",'Cash Flow'!AG100&gt;=Inputs!$V$101),'Cash Flow'!AG138,'Cash Flow'!AG137))</f>
        <v>0</v>
      </c>
      <c r="AH139" s="241">
        <f>IF(Inputs!$V$100="Percentage Method",'Cash Flow'!AH138,IF(AND(Inputs!$V$100="Cost Method",'Cash Flow'!AH100&gt;=Inputs!$V$101),'Cash Flow'!AH138,'Cash Flow'!AH137))</f>
        <v>0</v>
      </c>
      <c r="AI139" s="241">
        <f>IF(Inputs!$V$100="Percentage Method",'Cash Flow'!AI138,IF(AND(Inputs!$V$100="Cost Method",'Cash Flow'!AI100&gt;=Inputs!$V$101),'Cash Flow'!AI138,'Cash Flow'!AI137))</f>
        <v>0</v>
      </c>
      <c r="AJ139" s="241">
        <f>IF(Inputs!$V$100="Percentage Method",'Cash Flow'!AJ138,IF(AND(Inputs!$V$100="Cost Method",'Cash Flow'!AJ100&gt;=Inputs!$V$101),'Cash Flow'!AJ138,'Cash Flow'!AJ137))</f>
        <v>0</v>
      </c>
    </row>
    <row r="140" spans="2:36" s="11" customFormat="1" ht="16">
      <c r="B140" s="701"/>
      <c r="C140" s="311"/>
      <c r="D140" s="686"/>
      <c r="E140" s="311"/>
      <c r="F140" s="23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row>
    <row r="141" spans="2:36" s="11" customFormat="1" ht="16">
      <c r="B141" s="701" t="s">
        <v>407</v>
      </c>
      <c r="C141" s="311"/>
      <c r="D141" s="686"/>
      <c r="E141" s="311"/>
      <c r="F141" s="235"/>
      <c r="G141" s="718">
        <f>50%*(G$47-G129-G144)</f>
        <v>-10548448.861561446</v>
      </c>
      <c r="H141" s="718">
        <f t="shared" ref="H141:AJ141" si="63">50%*(H$47-H129-H144)</f>
        <v>-7521178.1940942761</v>
      </c>
      <c r="I141" s="718">
        <f t="shared" si="63"/>
        <v>-2199627.1958828652</v>
      </c>
      <c r="J141" s="718">
        <f t="shared" si="63"/>
        <v>1006593.7754807808</v>
      </c>
      <c r="K141" s="718">
        <f t="shared" si="63"/>
        <v>1037351.4815835785</v>
      </c>
      <c r="L141" s="718">
        <f t="shared" si="63"/>
        <v>3461769.3805824481</v>
      </c>
      <c r="M141" s="718">
        <f t="shared" si="63"/>
        <v>5892523.0182249183</v>
      </c>
      <c r="N141" s="718">
        <f t="shared" si="63"/>
        <v>5943819.1114873104</v>
      </c>
      <c r="O141" s="718">
        <f t="shared" si="63"/>
        <v>6004207.4163556304</v>
      </c>
      <c r="P141" s="718">
        <f t="shared" si="63"/>
        <v>6074470.4917649161</v>
      </c>
      <c r="Q141" s="718">
        <f t="shared" si="63"/>
        <v>6155129.5274664238</v>
      </c>
      <c r="R141" s="718">
        <f t="shared" si="63"/>
        <v>6184664.7540819449</v>
      </c>
      <c r="S141" s="718">
        <f t="shared" si="63"/>
        <v>6102204.0831415365</v>
      </c>
      <c r="T141" s="718">
        <f t="shared" si="63"/>
        <v>6041234.0918420386</v>
      </c>
      <c r="U141" s="718">
        <f t="shared" si="63"/>
        <v>6002249.1338407481</v>
      </c>
      <c r="V141" s="718">
        <f t="shared" si="63"/>
        <v>5984955.7758520888</v>
      </c>
      <c r="W141" s="718">
        <f t="shared" si="63"/>
        <v>5743272.3169310298</v>
      </c>
      <c r="X141" s="718">
        <f t="shared" si="63"/>
        <v>5509977.4526372775</v>
      </c>
      <c r="Y141" s="718">
        <f t="shared" si="63"/>
        <v>5283631.5779873645</v>
      </c>
      <c r="Z141" s="718">
        <f t="shared" si="63"/>
        <v>5817727.5714813881</v>
      </c>
      <c r="AA141" s="718">
        <f t="shared" si="63"/>
        <v>64158.032700897595</v>
      </c>
      <c r="AB141" s="718">
        <f t="shared" si="63"/>
        <v>92679.553053222597</v>
      </c>
      <c r="AC141" s="718">
        <f t="shared" si="63"/>
        <v>76879.222620633896</v>
      </c>
      <c r="AD141" s="718">
        <f t="shared" si="63"/>
        <v>60953.606266418006</v>
      </c>
      <c r="AE141" s="718">
        <f t="shared" si="63"/>
        <v>34613.080384750385</v>
      </c>
      <c r="AF141" s="718">
        <f t="shared" si="63"/>
        <v>0</v>
      </c>
      <c r="AG141" s="718">
        <f t="shared" si="63"/>
        <v>0</v>
      </c>
      <c r="AH141" s="718">
        <f t="shared" si="63"/>
        <v>0</v>
      </c>
      <c r="AI141" s="718">
        <f t="shared" si="63"/>
        <v>0</v>
      </c>
      <c r="AJ141" s="718">
        <f t="shared" si="63"/>
        <v>0</v>
      </c>
    </row>
    <row r="142" spans="2:36" s="11" customFormat="1" ht="16">
      <c r="B142" s="245"/>
      <c r="C142" s="311"/>
      <c r="D142" s="686"/>
      <c r="E142" s="311"/>
      <c r="F142" s="712"/>
      <c r="G142" s="713"/>
      <c r="H142" s="713"/>
      <c r="I142" s="713"/>
      <c r="J142" s="713"/>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row>
    <row r="143" spans="2:36" s="11" customFormat="1" ht="16">
      <c r="B143" s="701" t="s">
        <v>406</v>
      </c>
      <c r="C143" s="311"/>
      <c r="D143" s="686"/>
      <c r="E143" s="311"/>
      <c r="F143" s="712"/>
      <c r="G143" s="713"/>
      <c r="H143" s="713"/>
      <c r="I143" s="713"/>
      <c r="J143" s="713"/>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row>
    <row r="144" spans="2:36" s="11" customFormat="1" ht="16">
      <c r="B144" s="245" t="s">
        <v>392</v>
      </c>
      <c r="C144" s="311">
        <f>IF(Inputs!$G$20="Simple",Inputs!$G$75*Inputs!$W$91,IF(Inputs!$G$20="Intermediate",(Inputs!$G$32*Inputs!$W$92)+((Inputs!$G$49+Inputs!$G$64)*Inputs!$W$93),(Inputs!$G$32*Inputs!$W$92)+'Complex Inputs'!$K$121))</f>
        <v>16110540.33953125</v>
      </c>
      <c r="D144" s="686"/>
      <c r="E144" s="685">
        <f>C144</f>
        <v>16110540.33953125</v>
      </c>
      <c r="F144" s="230"/>
      <c r="G144" s="241">
        <f>E144</f>
        <v>16110540.33953125</v>
      </c>
      <c r="H144" s="241">
        <f>H122+H125</f>
        <v>0</v>
      </c>
      <c r="I144" s="241">
        <f t="shared" ref="I144:AJ144" si="64">I122+I125</f>
        <v>0</v>
      </c>
      <c r="J144" s="241">
        <f t="shared" si="64"/>
        <v>0</v>
      </c>
      <c r="K144" s="241">
        <f t="shared" si="64"/>
        <v>0</v>
      </c>
      <c r="L144" s="241">
        <f t="shared" si="64"/>
        <v>0</v>
      </c>
      <c r="M144" s="241">
        <f t="shared" si="64"/>
        <v>0</v>
      </c>
      <c r="N144" s="241">
        <f t="shared" si="64"/>
        <v>0</v>
      </c>
      <c r="O144" s="241">
        <f t="shared" si="64"/>
        <v>0</v>
      </c>
      <c r="P144" s="241">
        <f t="shared" si="64"/>
        <v>0</v>
      </c>
      <c r="Q144" s="241">
        <f t="shared" si="64"/>
        <v>0</v>
      </c>
      <c r="R144" s="241">
        <f t="shared" si="64"/>
        <v>0</v>
      </c>
      <c r="S144" s="241">
        <f t="shared" si="64"/>
        <v>0</v>
      </c>
      <c r="T144" s="241">
        <f t="shared" si="64"/>
        <v>0</v>
      </c>
      <c r="U144" s="241">
        <f t="shared" si="64"/>
        <v>0</v>
      </c>
      <c r="V144" s="241">
        <f t="shared" si="64"/>
        <v>0</v>
      </c>
      <c r="W144" s="241">
        <f t="shared" si="64"/>
        <v>0</v>
      </c>
      <c r="X144" s="241">
        <f t="shared" si="64"/>
        <v>0</v>
      </c>
      <c r="Y144" s="241">
        <f t="shared" si="64"/>
        <v>0</v>
      </c>
      <c r="Z144" s="241">
        <f t="shared" si="64"/>
        <v>0</v>
      </c>
      <c r="AA144" s="241">
        <f t="shared" si="64"/>
        <v>0</v>
      </c>
      <c r="AB144" s="241">
        <f t="shared" si="64"/>
        <v>0</v>
      </c>
      <c r="AC144" s="241">
        <f t="shared" si="64"/>
        <v>0</v>
      </c>
      <c r="AD144" s="241">
        <f t="shared" si="64"/>
        <v>0</v>
      </c>
      <c r="AE144" s="241">
        <f t="shared" si="64"/>
        <v>0</v>
      </c>
      <c r="AF144" s="241">
        <f t="shared" si="64"/>
        <v>0</v>
      </c>
      <c r="AG144" s="241">
        <f t="shared" si="64"/>
        <v>0</v>
      </c>
      <c r="AH144" s="241">
        <f t="shared" si="64"/>
        <v>0</v>
      </c>
      <c r="AI144" s="241">
        <f t="shared" si="64"/>
        <v>0</v>
      </c>
      <c r="AJ144" s="241">
        <f t="shared" si="64"/>
        <v>0</v>
      </c>
    </row>
    <row r="145" spans="2:36" s="11" customFormat="1" ht="17" thickBot="1">
      <c r="B145" s="251"/>
      <c r="C145" s="251"/>
      <c r="D145" s="251"/>
      <c r="E145" s="252"/>
      <c r="F145" s="252"/>
      <c r="G145" s="253"/>
      <c r="H145" s="254"/>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row>
    <row r="146" spans="2:36">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row>
    <row r="147" spans="2:36" ht="16">
      <c r="B147" s="229" t="s">
        <v>200</v>
      </c>
      <c r="C147" s="229"/>
      <c r="D147" s="229"/>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row>
    <row r="148" spans="2:36" ht="16">
      <c r="B148" s="230"/>
      <c r="C148" s="230"/>
      <c r="D148" s="230"/>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row>
    <row r="149" spans="2:36" ht="16">
      <c r="B149" s="230" t="s">
        <v>199</v>
      </c>
      <c r="C149" s="230"/>
      <c r="D149" s="230"/>
      <c r="E149" s="274"/>
      <c r="F149" s="274"/>
      <c r="G149" s="250">
        <f>G61</f>
        <v>-21566319.336704142</v>
      </c>
      <c r="H149" s="250">
        <f t="shared" ref="H149:AJ149" si="65">H61</f>
        <v>-15511778.001769803</v>
      </c>
      <c r="I149" s="250">
        <f t="shared" si="65"/>
        <v>-4868676.0053469799</v>
      </c>
      <c r="J149" s="250">
        <f t="shared" si="65"/>
        <v>1006593.7754807808</v>
      </c>
      <c r="K149" s="250">
        <f t="shared" si="65"/>
        <v>1037351.4815835785</v>
      </c>
      <c r="L149" s="250">
        <f t="shared" si="65"/>
        <v>5819353.4353876235</v>
      </c>
      <c r="M149" s="250">
        <f t="shared" si="65"/>
        <v>10686355.959092777</v>
      </c>
      <c r="N149" s="250">
        <f t="shared" si="65"/>
        <v>10794415.917795675</v>
      </c>
      <c r="O149" s="250">
        <f t="shared" si="65"/>
        <v>10920632.960849537</v>
      </c>
      <c r="P149" s="250">
        <f t="shared" si="65"/>
        <v>11066572.342818744</v>
      </c>
      <c r="Q149" s="250">
        <f t="shared" si="65"/>
        <v>11233276.57921664</v>
      </c>
      <c r="R149" s="250">
        <f t="shared" si="65"/>
        <v>11306488.865989033</v>
      </c>
      <c r="S149" s="250">
        <f t="shared" si="65"/>
        <v>11173298.674121425</v>
      </c>
      <c r="T149" s="250">
        <f t="shared" si="65"/>
        <v>11082137.907035243</v>
      </c>
      <c r="U149" s="250">
        <f t="shared" si="65"/>
        <v>11034023.83008009</v>
      </c>
      <c r="V149" s="250">
        <f t="shared" si="65"/>
        <v>11029885.163739994</v>
      </c>
      <c r="W149" s="250">
        <f t="shared" si="65"/>
        <v>10576097.490618818</v>
      </c>
      <c r="X149" s="250">
        <f t="shared" si="65"/>
        <v>10136756.380222248</v>
      </c>
      <c r="Y149" s="250">
        <f t="shared" si="65"/>
        <v>9710495.7905676272</v>
      </c>
      <c r="Z149" s="250">
        <f t="shared" si="65"/>
        <v>10693331.315885209</v>
      </c>
      <c r="AA149" s="250">
        <f t="shared" si="65"/>
        <v>64158.032700897602</v>
      </c>
      <c r="AB149" s="250">
        <f t="shared" si="65"/>
        <v>92679.553053222597</v>
      </c>
      <c r="AC149" s="250">
        <f t="shared" si="65"/>
        <v>76879.222620633896</v>
      </c>
      <c r="AD149" s="250">
        <f t="shared" si="65"/>
        <v>60953.606266418006</v>
      </c>
      <c r="AE149" s="250">
        <f t="shared" si="65"/>
        <v>34613.080384750385</v>
      </c>
      <c r="AF149" s="250">
        <f t="shared" si="65"/>
        <v>0</v>
      </c>
      <c r="AG149" s="250">
        <f t="shared" si="65"/>
        <v>0</v>
      </c>
      <c r="AH149" s="250">
        <f t="shared" si="65"/>
        <v>0</v>
      </c>
      <c r="AI149" s="250">
        <f t="shared" si="65"/>
        <v>0</v>
      </c>
      <c r="AJ149" s="250">
        <f t="shared" si="65"/>
        <v>0</v>
      </c>
    </row>
    <row r="150" spans="2:36" ht="16">
      <c r="B150" s="230"/>
      <c r="C150" s="230"/>
      <c r="D150" s="230"/>
      <c r="E150" s="274"/>
      <c r="F150" s="274"/>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row>
    <row r="151" spans="2:36" ht="16">
      <c r="B151" s="312" t="s">
        <v>257</v>
      </c>
      <c r="C151" s="312"/>
      <c r="D151" s="312"/>
      <c r="E151" s="274"/>
      <c r="F151" s="274"/>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row>
    <row r="152" spans="2:36" ht="16">
      <c r="B152" s="230" t="s">
        <v>202</v>
      </c>
      <c r="C152" s="230"/>
      <c r="D152" s="230"/>
      <c r="E152" s="274"/>
      <c r="F152" s="274"/>
      <c r="G152" s="250">
        <v>0</v>
      </c>
      <c r="H152" s="250">
        <f>G155</f>
        <v>21566319.336704142</v>
      </c>
      <c r="I152" s="250">
        <f t="shared" ref="I152:AJ152" si="66">H155</f>
        <v>37078097.338473946</v>
      </c>
      <c r="J152" s="250">
        <f t="shared" si="66"/>
        <v>41946773.34382093</v>
      </c>
      <c r="K152" s="250">
        <f t="shared" si="66"/>
        <v>40940179.568340153</v>
      </c>
      <c r="L152" s="250">
        <f t="shared" si="66"/>
        <v>39902828.086756572</v>
      </c>
      <c r="M152" s="250">
        <f t="shared" si="66"/>
        <v>34083474.651368946</v>
      </c>
      <c r="N152" s="250">
        <f t="shared" si="66"/>
        <v>23397118.692276169</v>
      </c>
      <c r="O152" s="250">
        <f t="shared" si="66"/>
        <v>12602702.774480494</v>
      </c>
      <c r="P152" s="250">
        <f t="shared" si="66"/>
        <v>1682069.8136309572</v>
      </c>
      <c r="Q152" s="250">
        <f t="shared" si="66"/>
        <v>0</v>
      </c>
      <c r="R152" s="250">
        <f t="shared" si="66"/>
        <v>0</v>
      </c>
      <c r="S152" s="250">
        <f t="shared" si="66"/>
        <v>0</v>
      </c>
      <c r="T152" s="250">
        <f t="shared" si="66"/>
        <v>0</v>
      </c>
      <c r="U152" s="250">
        <f t="shared" si="66"/>
        <v>0</v>
      </c>
      <c r="V152" s="250">
        <f t="shared" si="66"/>
        <v>0</v>
      </c>
      <c r="W152" s="250">
        <f t="shared" si="66"/>
        <v>0</v>
      </c>
      <c r="X152" s="250">
        <f t="shared" si="66"/>
        <v>0</v>
      </c>
      <c r="Y152" s="250">
        <f t="shared" si="66"/>
        <v>0</v>
      </c>
      <c r="Z152" s="250">
        <f t="shared" si="66"/>
        <v>0</v>
      </c>
      <c r="AA152" s="250">
        <f t="shared" si="66"/>
        <v>0</v>
      </c>
      <c r="AB152" s="250">
        <f t="shared" si="66"/>
        <v>0</v>
      </c>
      <c r="AC152" s="250">
        <f t="shared" si="66"/>
        <v>0</v>
      </c>
      <c r="AD152" s="250">
        <f t="shared" si="66"/>
        <v>0</v>
      </c>
      <c r="AE152" s="250">
        <f t="shared" si="66"/>
        <v>0</v>
      </c>
      <c r="AF152" s="250">
        <f t="shared" si="66"/>
        <v>0</v>
      </c>
      <c r="AG152" s="250">
        <f t="shared" si="66"/>
        <v>0</v>
      </c>
      <c r="AH152" s="250">
        <f t="shared" si="66"/>
        <v>0</v>
      </c>
      <c r="AI152" s="250">
        <f t="shared" si="66"/>
        <v>0</v>
      </c>
      <c r="AJ152" s="250">
        <f t="shared" si="66"/>
        <v>0</v>
      </c>
    </row>
    <row r="153" spans="2:36" ht="16">
      <c r="B153" s="230" t="s">
        <v>203</v>
      </c>
      <c r="C153" s="230"/>
      <c r="D153" s="230"/>
      <c r="E153" s="274"/>
      <c r="F153" s="274"/>
      <c r="G153" s="250">
        <f>IF(G$149&gt;0,0,-G$149)</f>
        <v>21566319.336704142</v>
      </c>
      <c r="H153" s="250">
        <f t="shared" ref="H153:AJ153" si="67">IF(H$149&gt;0,0,-H$149)</f>
        <v>15511778.001769803</v>
      </c>
      <c r="I153" s="250">
        <f t="shared" si="67"/>
        <v>4868676.0053469799</v>
      </c>
      <c r="J153" s="250">
        <f t="shared" si="67"/>
        <v>0</v>
      </c>
      <c r="K153" s="250">
        <f t="shared" si="67"/>
        <v>0</v>
      </c>
      <c r="L153" s="250">
        <f t="shared" si="67"/>
        <v>0</v>
      </c>
      <c r="M153" s="250">
        <f t="shared" si="67"/>
        <v>0</v>
      </c>
      <c r="N153" s="250">
        <f t="shared" si="67"/>
        <v>0</v>
      </c>
      <c r="O153" s="250">
        <f t="shared" si="67"/>
        <v>0</v>
      </c>
      <c r="P153" s="250">
        <f t="shared" si="67"/>
        <v>0</v>
      </c>
      <c r="Q153" s="250">
        <f t="shared" si="67"/>
        <v>0</v>
      </c>
      <c r="R153" s="250">
        <f t="shared" si="67"/>
        <v>0</v>
      </c>
      <c r="S153" s="250">
        <f t="shared" si="67"/>
        <v>0</v>
      </c>
      <c r="T153" s="250">
        <f t="shared" si="67"/>
        <v>0</v>
      </c>
      <c r="U153" s="250">
        <f t="shared" si="67"/>
        <v>0</v>
      </c>
      <c r="V153" s="250">
        <f t="shared" si="67"/>
        <v>0</v>
      </c>
      <c r="W153" s="250">
        <f t="shared" si="67"/>
        <v>0</v>
      </c>
      <c r="X153" s="250">
        <f t="shared" si="67"/>
        <v>0</v>
      </c>
      <c r="Y153" s="250">
        <f t="shared" si="67"/>
        <v>0</v>
      </c>
      <c r="Z153" s="250">
        <f t="shared" si="67"/>
        <v>0</v>
      </c>
      <c r="AA153" s="250">
        <f t="shared" si="67"/>
        <v>0</v>
      </c>
      <c r="AB153" s="250">
        <f t="shared" si="67"/>
        <v>0</v>
      </c>
      <c r="AC153" s="250">
        <f t="shared" si="67"/>
        <v>0</v>
      </c>
      <c r="AD153" s="250">
        <f t="shared" si="67"/>
        <v>0</v>
      </c>
      <c r="AE153" s="250">
        <f t="shared" si="67"/>
        <v>0</v>
      </c>
      <c r="AF153" s="250">
        <f t="shared" si="67"/>
        <v>0</v>
      </c>
      <c r="AG153" s="250">
        <f t="shared" si="67"/>
        <v>0</v>
      </c>
      <c r="AH153" s="250">
        <f t="shared" si="67"/>
        <v>0</v>
      </c>
      <c r="AI153" s="250">
        <f t="shared" si="67"/>
        <v>0</v>
      </c>
      <c r="AJ153" s="250">
        <f t="shared" si="67"/>
        <v>0</v>
      </c>
    </row>
    <row r="154" spans="2:36" ht="16">
      <c r="B154" s="230" t="s">
        <v>201</v>
      </c>
      <c r="C154" s="230"/>
      <c r="D154" s="230"/>
      <c r="E154" s="274"/>
      <c r="F154" s="274"/>
      <c r="G154" s="250">
        <f t="shared" ref="G154:L154" si="68">IF(G$149&lt;=0,0,-MIN(G$149,F$155))</f>
        <v>0</v>
      </c>
      <c r="H154" s="250">
        <f t="shared" si="68"/>
        <v>0</v>
      </c>
      <c r="I154" s="250">
        <f t="shared" si="68"/>
        <v>0</v>
      </c>
      <c r="J154" s="250">
        <f t="shared" si="68"/>
        <v>-1006593.7754807808</v>
      </c>
      <c r="K154" s="250">
        <f t="shared" si="68"/>
        <v>-1037351.4815835785</v>
      </c>
      <c r="L154" s="250">
        <f t="shared" si="68"/>
        <v>-5819353.4353876235</v>
      </c>
      <c r="M154" s="250">
        <f>IF(M$149&lt;=0,0,-MIN(M$149,L$155))</f>
        <v>-10686355.959092777</v>
      </c>
      <c r="N154" s="250">
        <f t="shared" ref="N154:AJ154" si="69">IF(N$149&lt;=0,0,-MIN(N$149,M$155))</f>
        <v>-10794415.917795675</v>
      </c>
      <c r="O154" s="250">
        <f t="shared" si="69"/>
        <v>-10920632.960849537</v>
      </c>
      <c r="P154" s="250">
        <f t="shared" si="69"/>
        <v>-1682069.8136309572</v>
      </c>
      <c r="Q154" s="250">
        <f t="shared" si="69"/>
        <v>0</v>
      </c>
      <c r="R154" s="250">
        <f t="shared" si="69"/>
        <v>0</v>
      </c>
      <c r="S154" s="250">
        <f t="shared" si="69"/>
        <v>0</v>
      </c>
      <c r="T154" s="250">
        <f t="shared" si="69"/>
        <v>0</v>
      </c>
      <c r="U154" s="250">
        <f t="shared" si="69"/>
        <v>0</v>
      </c>
      <c r="V154" s="250">
        <f t="shared" si="69"/>
        <v>0</v>
      </c>
      <c r="W154" s="250">
        <f t="shared" si="69"/>
        <v>0</v>
      </c>
      <c r="X154" s="250">
        <f t="shared" si="69"/>
        <v>0</v>
      </c>
      <c r="Y154" s="250">
        <f t="shared" si="69"/>
        <v>0</v>
      </c>
      <c r="Z154" s="250">
        <f t="shared" si="69"/>
        <v>0</v>
      </c>
      <c r="AA154" s="250">
        <f t="shared" si="69"/>
        <v>0</v>
      </c>
      <c r="AB154" s="250">
        <f t="shared" si="69"/>
        <v>0</v>
      </c>
      <c r="AC154" s="250">
        <f t="shared" si="69"/>
        <v>0</v>
      </c>
      <c r="AD154" s="250">
        <f t="shared" si="69"/>
        <v>0</v>
      </c>
      <c r="AE154" s="250">
        <f t="shared" si="69"/>
        <v>0</v>
      </c>
      <c r="AF154" s="250">
        <f t="shared" si="69"/>
        <v>0</v>
      </c>
      <c r="AG154" s="250">
        <f t="shared" si="69"/>
        <v>0</v>
      </c>
      <c r="AH154" s="250">
        <f t="shared" si="69"/>
        <v>0</v>
      </c>
      <c r="AI154" s="250">
        <f t="shared" si="69"/>
        <v>0</v>
      </c>
      <c r="AJ154" s="250">
        <f t="shared" si="69"/>
        <v>0</v>
      </c>
    </row>
    <row r="155" spans="2:36" ht="16">
      <c r="B155" s="230" t="s">
        <v>204</v>
      </c>
      <c r="C155" s="230"/>
      <c r="D155" s="230"/>
      <c r="E155" s="274"/>
      <c r="F155" s="274"/>
      <c r="G155" s="250">
        <f>SUM(G152:G154)</f>
        <v>21566319.336704142</v>
      </c>
      <c r="H155" s="250">
        <f t="shared" ref="H155:AJ155" si="70">SUM(H152:H154)</f>
        <v>37078097.338473946</v>
      </c>
      <c r="I155" s="250">
        <f t="shared" si="70"/>
        <v>41946773.34382093</v>
      </c>
      <c r="J155" s="250">
        <f t="shared" si="70"/>
        <v>40940179.568340153</v>
      </c>
      <c r="K155" s="250">
        <f t="shared" si="70"/>
        <v>39902828.086756572</v>
      </c>
      <c r="L155" s="250">
        <f t="shared" si="70"/>
        <v>34083474.651368946</v>
      </c>
      <c r="M155" s="250">
        <f t="shared" si="70"/>
        <v>23397118.692276169</v>
      </c>
      <c r="N155" s="250">
        <f t="shared" si="70"/>
        <v>12602702.774480494</v>
      </c>
      <c r="O155" s="250">
        <f t="shared" si="70"/>
        <v>1682069.8136309572</v>
      </c>
      <c r="P155" s="250">
        <f t="shared" si="70"/>
        <v>0</v>
      </c>
      <c r="Q155" s="250">
        <f t="shared" si="70"/>
        <v>0</v>
      </c>
      <c r="R155" s="250">
        <f t="shared" si="70"/>
        <v>0</v>
      </c>
      <c r="S155" s="250">
        <f t="shared" si="70"/>
        <v>0</v>
      </c>
      <c r="T155" s="250">
        <f t="shared" si="70"/>
        <v>0</v>
      </c>
      <c r="U155" s="250">
        <f t="shared" si="70"/>
        <v>0</v>
      </c>
      <c r="V155" s="250">
        <f t="shared" si="70"/>
        <v>0</v>
      </c>
      <c r="W155" s="250">
        <f t="shared" si="70"/>
        <v>0</v>
      </c>
      <c r="X155" s="250">
        <f t="shared" si="70"/>
        <v>0</v>
      </c>
      <c r="Y155" s="250">
        <f t="shared" si="70"/>
        <v>0</v>
      </c>
      <c r="Z155" s="250">
        <f t="shared" si="70"/>
        <v>0</v>
      </c>
      <c r="AA155" s="250">
        <f t="shared" si="70"/>
        <v>0</v>
      </c>
      <c r="AB155" s="250">
        <f t="shared" si="70"/>
        <v>0</v>
      </c>
      <c r="AC155" s="250">
        <f t="shared" si="70"/>
        <v>0</v>
      </c>
      <c r="AD155" s="250">
        <f t="shared" si="70"/>
        <v>0</v>
      </c>
      <c r="AE155" s="250">
        <f t="shared" si="70"/>
        <v>0</v>
      </c>
      <c r="AF155" s="250">
        <f t="shared" si="70"/>
        <v>0</v>
      </c>
      <c r="AG155" s="250">
        <f t="shared" si="70"/>
        <v>0</v>
      </c>
      <c r="AH155" s="250">
        <f t="shared" si="70"/>
        <v>0</v>
      </c>
      <c r="AI155" s="250">
        <f t="shared" si="70"/>
        <v>0</v>
      </c>
      <c r="AJ155" s="250">
        <f t="shared" si="70"/>
        <v>0</v>
      </c>
    </row>
    <row r="156" spans="2:36" ht="16">
      <c r="B156" s="230"/>
      <c r="C156" s="230"/>
      <c r="D156" s="230"/>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row>
    <row r="157" spans="2:36" ht="16">
      <c r="B157" s="230" t="s">
        <v>205</v>
      </c>
      <c r="C157" s="230"/>
      <c r="D157" s="230"/>
      <c r="E157" s="274"/>
      <c r="F157" s="274"/>
      <c r="G157" s="250">
        <f>G149+G153+G154</f>
        <v>0</v>
      </c>
      <c r="H157" s="250">
        <f t="shared" ref="H157:AJ157" si="71">H149+H153+H154</f>
        <v>0</v>
      </c>
      <c r="I157" s="250">
        <f t="shared" si="71"/>
        <v>0</v>
      </c>
      <c r="J157" s="250">
        <f t="shared" si="71"/>
        <v>0</v>
      </c>
      <c r="K157" s="250">
        <f t="shared" si="71"/>
        <v>0</v>
      </c>
      <c r="L157" s="250">
        <f t="shared" si="71"/>
        <v>0</v>
      </c>
      <c r="M157" s="250">
        <f t="shared" si="71"/>
        <v>0</v>
      </c>
      <c r="N157" s="250">
        <f t="shared" si="71"/>
        <v>0</v>
      </c>
      <c r="O157" s="250">
        <f t="shared" si="71"/>
        <v>0</v>
      </c>
      <c r="P157" s="250">
        <f t="shared" si="71"/>
        <v>9384502.5291877873</v>
      </c>
      <c r="Q157" s="250">
        <f t="shared" si="71"/>
        <v>11233276.57921664</v>
      </c>
      <c r="R157" s="250">
        <f t="shared" si="71"/>
        <v>11306488.865989033</v>
      </c>
      <c r="S157" s="250">
        <f t="shared" si="71"/>
        <v>11173298.674121425</v>
      </c>
      <c r="T157" s="250">
        <f t="shared" si="71"/>
        <v>11082137.907035243</v>
      </c>
      <c r="U157" s="250">
        <f t="shared" si="71"/>
        <v>11034023.83008009</v>
      </c>
      <c r="V157" s="250">
        <f t="shared" si="71"/>
        <v>11029885.163739994</v>
      </c>
      <c r="W157" s="250">
        <f t="shared" si="71"/>
        <v>10576097.490618818</v>
      </c>
      <c r="X157" s="250">
        <f t="shared" si="71"/>
        <v>10136756.380222248</v>
      </c>
      <c r="Y157" s="250">
        <f t="shared" si="71"/>
        <v>9710495.7905676272</v>
      </c>
      <c r="Z157" s="250">
        <f t="shared" si="71"/>
        <v>10693331.315885209</v>
      </c>
      <c r="AA157" s="250">
        <f t="shared" si="71"/>
        <v>64158.032700897602</v>
      </c>
      <c r="AB157" s="250">
        <f t="shared" si="71"/>
        <v>92679.553053222597</v>
      </c>
      <c r="AC157" s="250">
        <f t="shared" si="71"/>
        <v>76879.222620633896</v>
      </c>
      <c r="AD157" s="250">
        <f t="shared" si="71"/>
        <v>60953.606266418006</v>
      </c>
      <c r="AE157" s="250">
        <f t="shared" si="71"/>
        <v>34613.080384750385</v>
      </c>
      <c r="AF157" s="250">
        <f t="shared" si="71"/>
        <v>0</v>
      </c>
      <c r="AG157" s="250">
        <f t="shared" si="71"/>
        <v>0</v>
      </c>
      <c r="AH157" s="250">
        <f t="shared" si="71"/>
        <v>0</v>
      </c>
      <c r="AI157" s="250">
        <f t="shared" si="71"/>
        <v>0</v>
      </c>
      <c r="AJ157" s="250">
        <f t="shared" si="71"/>
        <v>0</v>
      </c>
    </row>
    <row r="158" spans="2:36" ht="16">
      <c r="B158" s="230"/>
      <c r="C158" s="230"/>
      <c r="D158" s="230"/>
      <c r="E158" s="274"/>
      <c r="F158" s="274"/>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row>
    <row r="159" spans="2:36" ht="16">
      <c r="B159" s="312" t="s">
        <v>258</v>
      </c>
      <c r="C159" s="312"/>
      <c r="D159" s="312"/>
      <c r="E159" s="274"/>
      <c r="F159" s="274"/>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row>
    <row r="160" spans="2:36" ht="16">
      <c r="B160" s="230" t="s">
        <v>202</v>
      </c>
      <c r="C160" s="230"/>
      <c r="D160" s="230"/>
      <c r="E160" s="274"/>
      <c r="F160" s="274"/>
      <c r="G160" s="250">
        <v>0</v>
      </c>
      <c r="H160" s="250">
        <f>G163</f>
        <v>21566319.336704142</v>
      </c>
      <c r="I160" s="250">
        <f t="shared" ref="I160:AJ160" si="72">H163</f>
        <v>37078097.338473946</v>
      </c>
      <c r="J160" s="250">
        <f t="shared" si="72"/>
        <v>41946773.34382093</v>
      </c>
      <c r="K160" s="250">
        <f t="shared" si="72"/>
        <v>40940179.568340153</v>
      </c>
      <c r="L160" s="250">
        <f t="shared" si="72"/>
        <v>39902828.086756572</v>
      </c>
      <c r="M160" s="250">
        <f t="shared" si="72"/>
        <v>34083474.651368946</v>
      </c>
      <c r="N160" s="250">
        <f t="shared" si="72"/>
        <v>23397118.692276169</v>
      </c>
      <c r="O160" s="250">
        <f t="shared" si="72"/>
        <v>12602702.774480494</v>
      </c>
      <c r="P160" s="250">
        <f t="shared" si="72"/>
        <v>1682069.8136309572</v>
      </c>
      <c r="Q160" s="250">
        <f t="shared" si="72"/>
        <v>0</v>
      </c>
      <c r="R160" s="250">
        <f t="shared" si="72"/>
        <v>0</v>
      </c>
      <c r="S160" s="250">
        <f t="shared" si="72"/>
        <v>0</v>
      </c>
      <c r="T160" s="250">
        <f t="shared" si="72"/>
        <v>0</v>
      </c>
      <c r="U160" s="250">
        <f t="shared" si="72"/>
        <v>0</v>
      </c>
      <c r="V160" s="250">
        <f t="shared" si="72"/>
        <v>0</v>
      </c>
      <c r="W160" s="250">
        <f t="shared" si="72"/>
        <v>0</v>
      </c>
      <c r="X160" s="250">
        <f t="shared" si="72"/>
        <v>0</v>
      </c>
      <c r="Y160" s="250">
        <f t="shared" si="72"/>
        <v>0</v>
      </c>
      <c r="Z160" s="250">
        <f t="shared" si="72"/>
        <v>0</v>
      </c>
      <c r="AA160" s="250">
        <f t="shared" si="72"/>
        <v>0</v>
      </c>
      <c r="AB160" s="250">
        <f t="shared" si="72"/>
        <v>0</v>
      </c>
      <c r="AC160" s="250">
        <f t="shared" si="72"/>
        <v>0</v>
      </c>
      <c r="AD160" s="250">
        <f t="shared" si="72"/>
        <v>0</v>
      </c>
      <c r="AE160" s="250">
        <f t="shared" si="72"/>
        <v>0</v>
      </c>
      <c r="AF160" s="250">
        <f t="shared" si="72"/>
        <v>0</v>
      </c>
      <c r="AG160" s="250">
        <f t="shared" si="72"/>
        <v>0</v>
      </c>
      <c r="AH160" s="250">
        <f t="shared" si="72"/>
        <v>0</v>
      </c>
      <c r="AI160" s="250">
        <f t="shared" si="72"/>
        <v>0</v>
      </c>
      <c r="AJ160" s="250">
        <f t="shared" si="72"/>
        <v>0</v>
      </c>
    </row>
    <row r="161" spans="2:36" ht="16">
      <c r="B161" s="230" t="s">
        <v>203</v>
      </c>
      <c r="C161" s="230"/>
      <c r="D161" s="230"/>
      <c r="E161" s="274"/>
      <c r="F161" s="274"/>
      <c r="G161" s="250">
        <f>IF(G$149&gt;0,0,-G$149)</f>
        <v>21566319.336704142</v>
      </c>
      <c r="H161" s="250">
        <f t="shared" ref="H161:AJ161" si="73">IF(H$149&gt;0,0,-H$149)</f>
        <v>15511778.001769803</v>
      </c>
      <c r="I161" s="250">
        <f t="shared" si="73"/>
        <v>4868676.0053469799</v>
      </c>
      <c r="J161" s="250">
        <f t="shared" si="73"/>
        <v>0</v>
      </c>
      <c r="K161" s="250">
        <f t="shared" si="73"/>
        <v>0</v>
      </c>
      <c r="L161" s="250">
        <f t="shared" si="73"/>
        <v>0</v>
      </c>
      <c r="M161" s="250">
        <f t="shared" si="73"/>
        <v>0</v>
      </c>
      <c r="N161" s="250">
        <f t="shared" si="73"/>
        <v>0</v>
      </c>
      <c r="O161" s="250">
        <f t="shared" si="73"/>
        <v>0</v>
      </c>
      <c r="P161" s="250">
        <f t="shared" si="73"/>
        <v>0</v>
      </c>
      <c r="Q161" s="250">
        <f t="shared" si="73"/>
        <v>0</v>
      </c>
      <c r="R161" s="250">
        <f t="shared" si="73"/>
        <v>0</v>
      </c>
      <c r="S161" s="250">
        <f t="shared" si="73"/>
        <v>0</v>
      </c>
      <c r="T161" s="250">
        <f t="shared" si="73"/>
        <v>0</v>
      </c>
      <c r="U161" s="250">
        <f t="shared" si="73"/>
        <v>0</v>
      </c>
      <c r="V161" s="250">
        <f t="shared" si="73"/>
        <v>0</v>
      </c>
      <c r="W161" s="250">
        <f t="shared" si="73"/>
        <v>0</v>
      </c>
      <c r="X161" s="250">
        <f t="shared" si="73"/>
        <v>0</v>
      </c>
      <c r="Y161" s="250">
        <f t="shared" si="73"/>
        <v>0</v>
      </c>
      <c r="Z161" s="250">
        <f t="shared" si="73"/>
        <v>0</v>
      </c>
      <c r="AA161" s="250">
        <f t="shared" si="73"/>
        <v>0</v>
      </c>
      <c r="AB161" s="250">
        <f t="shared" si="73"/>
        <v>0</v>
      </c>
      <c r="AC161" s="250">
        <f t="shared" si="73"/>
        <v>0</v>
      </c>
      <c r="AD161" s="250">
        <f t="shared" si="73"/>
        <v>0</v>
      </c>
      <c r="AE161" s="250">
        <f t="shared" si="73"/>
        <v>0</v>
      </c>
      <c r="AF161" s="250">
        <f t="shared" si="73"/>
        <v>0</v>
      </c>
      <c r="AG161" s="250">
        <f t="shared" si="73"/>
        <v>0</v>
      </c>
      <c r="AH161" s="250">
        <f t="shared" si="73"/>
        <v>0</v>
      </c>
      <c r="AI161" s="250">
        <f t="shared" si="73"/>
        <v>0</v>
      </c>
      <c r="AJ161" s="250">
        <f t="shared" si="73"/>
        <v>0</v>
      </c>
    </row>
    <row r="162" spans="2:36" ht="16">
      <c r="B162" s="230" t="s">
        <v>201</v>
      </c>
      <c r="C162" s="230"/>
      <c r="D162" s="230"/>
      <c r="E162" s="274"/>
      <c r="F162" s="274"/>
      <c r="G162" s="250">
        <f t="shared" ref="G162" si="74">IF(G$149&lt;=0,0,-MIN(G$149,F$155))</f>
        <v>0</v>
      </c>
      <c r="H162" s="250">
        <f t="shared" ref="H162" si="75">IF(H$149&lt;=0,0,-MIN(H$149,G$155))</f>
        <v>0</v>
      </c>
      <c r="I162" s="250">
        <f t="shared" ref="I162" si="76">IF(I$149&lt;=0,0,-MIN(I$149,H$155))</f>
        <v>0</v>
      </c>
      <c r="J162" s="250">
        <f t="shared" ref="J162" si="77">IF(J$149&lt;=0,0,-MIN(J$149,I$155))</f>
        <v>-1006593.7754807808</v>
      </c>
      <c r="K162" s="250">
        <f t="shared" ref="K162" si="78">IF(K$149&lt;=0,0,-MIN(K$149,J$155))</f>
        <v>-1037351.4815835785</v>
      </c>
      <c r="L162" s="250">
        <f t="shared" ref="L162" si="79">IF(L$149&lt;=0,0,-MIN(L$149,K$155))</f>
        <v>-5819353.4353876235</v>
      </c>
      <c r="M162" s="250">
        <f t="shared" ref="M162" si="80">IF(M$149&lt;=0,0,-MIN(M$149,L$155))</f>
        <v>-10686355.959092777</v>
      </c>
      <c r="N162" s="250">
        <f t="shared" ref="N162" si="81">IF(N$149&lt;=0,0,-MIN(N$149,M$155))</f>
        <v>-10794415.917795675</v>
      </c>
      <c r="O162" s="250">
        <f t="shared" ref="O162" si="82">IF(O$149&lt;=0,0,-MIN(O$149,N$155))</f>
        <v>-10920632.960849537</v>
      </c>
      <c r="P162" s="250">
        <f t="shared" ref="P162" si="83">IF(P$149&lt;=0,0,-MIN(P$149,O$155))</f>
        <v>-1682069.8136309572</v>
      </c>
      <c r="Q162" s="250">
        <f t="shared" ref="Q162" si="84">IF(Q$149&lt;=0,0,-MIN(Q$149,P$155))</f>
        <v>0</v>
      </c>
      <c r="R162" s="250">
        <f t="shared" ref="R162" si="85">IF(R$149&lt;=0,0,-MIN(R$149,Q$155))</f>
        <v>0</v>
      </c>
      <c r="S162" s="250">
        <f t="shared" ref="S162" si="86">IF(S$149&lt;=0,0,-MIN(S$149,R$155))</f>
        <v>0</v>
      </c>
      <c r="T162" s="250">
        <f t="shared" ref="T162" si="87">IF(T$149&lt;=0,0,-MIN(T$149,S$155))</f>
        <v>0</v>
      </c>
      <c r="U162" s="250">
        <f t="shared" ref="U162" si="88">IF(U$149&lt;=0,0,-MIN(U$149,T$155))</f>
        <v>0</v>
      </c>
      <c r="V162" s="250">
        <f t="shared" ref="V162" si="89">IF(V$149&lt;=0,0,-MIN(V$149,U$155))</f>
        <v>0</v>
      </c>
      <c r="W162" s="250">
        <f t="shared" ref="W162" si="90">IF(W$149&lt;=0,0,-MIN(W$149,V$155))</f>
        <v>0</v>
      </c>
      <c r="X162" s="250">
        <f t="shared" ref="X162" si="91">IF(X$149&lt;=0,0,-MIN(X$149,W$155))</f>
        <v>0</v>
      </c>
      <c r="Y162" s="250">
        <f t="shared" ref="Y162" si="92">IF(Y$149&lt;=0,0,-MIN(Y$149,X$155))</f>
        <v>0</v>
      </c>
      <c r="Z162" s="250">
        <f t="shared" ref="Z162" si="93">IF(Z$149&lt;=0,0,-MIN(Z$149,Y$155))</f>
        <v>0</v>
      </c>
      <c r="AA162" s="250">
        <f t="shared" ref="AA162" si="94">IF(AA$149&lt;=0,0,-MIN(AA$149,Z$155))</f>
        <v>0</v>
      </c>
      <c r="AB162" s="250">
        <f t="shared" ref="AB162" si="95">IF(AB$149&lt;=0,0,-MIN(AB$149,AA$155))</f>
        <v>0</v>
      </c>
      <c r="AC162" s="250">
        <f t="shared" ref="AC162" si="96">IF(AC$149&lt;=0,0,-MIN(AC$149,AB$155))</f>
        <v>0</v>
      </c>
      <c r="AD162" s="250">
        <f t="shared" ref="AD162" si="97">IF(AD$149&lt;=0,0,-MIN(AD$149,AC$155))</f>
        <v>0</v>
      </c>
      <c r="AE162" s="250">
        <f t="shared" ref="AE162" si="98">IF(AE$149&lt;=0,0,-MIN(AE$149,AD$155))</f>
        <v>0</v>
      </c>
      <c r="AF162" s="250">
        <f t="shared" ref="AF162" si="99">IF(AF$149&lt;=0,0,-MIN(AF$149,AE$155))</f>
        <v>0</v>
      </c>
      <c r="AG162" s="250">
        <f t="shared" ref="AG162" si="100">IF(AG$149&lt;=0,0,-MIN(AG$149,AF$155))</f>
        <v>0</v>
      </c>
      <c r="AH162" s="250">
        <f t="shared" ref="AH162" si="101">IF(AH$149&lt;=0,0,-MIN(AH$149,AG$155))</f>
        <v>0</v>
      </c>
      <c r="AI162" s="250">
        <f t="shared" ref="AI162" si="102">IF(AI$149&lt;=0,0,-MIN(AI$149,AH$155))</f>
        <v>0</v>
      </c>
      <c r="AJ162" s="250">
        <f t="shared" ref="AJ162" si="103">IF(AJ$149&lt;=0,0,-MIN(AJ$149,AI$155))</f>
        <v>0</v>
      </c>
    </row>
    <row r="163" spans="2:36" ht="16">
      <c r="B163" s="230" t="s">
        <v>204</v>
      </c>
      <c r="C163" s="230"/>
      <c r="D163" s="230"/>
      <c r="E163" s="274"/>
      <c r="F163" s="274"/>
      <c r="G163" s="250">
        <f>SUM(G160:G162)</f>
        <v>21566319.336704142</v>
      </c>
      <c r="H163" s="250">
        <f t="shared" ref="H163:AJ163" si="104">SUM(H160:H162)</f>
        <v>37078097.338473946</v>
      </c>
      <c r="I163" s="250">
        <f t="shared" si="104"/>
        <v>41946773.34382093</v>
      </c>
      <c r="J163" s="250">
        <f t="shared" si="104"/>
        <v>40940179.568340153</v>
      </c>
      <c r="K163" s="250">
        <f t="shared" si="104"/>
        <v>39902828.086756572</v>
      </c>
      <c r="L163" s="250">
        <f t="shared" si="104"/>
        <v>34083474.651368946</v>
      </c>
      <c r="M163" s="250">
        <f t="shared" si="104"/>
        <v>23397118.692276169</v>
      </c>
      <c r="N163" s="250">
        <f t="shared" si="104"/>
        <v>12602702.774480494</v>
      </c>
      <c r="O163" s="250">
        <f t="shared" si="104"/>
        <v>1682069.8136309572</v>
      </c>
      <c r="P163" s="250">
        <f t="shared" si="104"/>
        <v>0</v>
      </c>
      <c r="Q163" s="250">
        <f t="shared" si="104"/>
        <v>0</v>
      </c>
      <c r="R163" s="250">
        <f t="shared" si="104"/>
        <v>0</v>
      </c>
      <c r="S163" s="250">
        <f t="shared" si="104"/>
        <v>0</v>
      </c>
      <c r="T163" s="250">
        <f t="shared" si="104"/>
        <v>0</v>
      </c>
      <c r="U163" s="250">
        <f t="shared" si="104"/>
        <v>0</v>
      </c>
      <c r="V163" s="250">
        <f t="shared" si="104"/>
        <v>0</v>
      </c>
      <c r="W163" s="250">
        <f t="shared" si="104"/>
        <v>0</v>
      </c>
      <c r="X163" s="250">
        <f t="shared" si="104"/>
        <v>0</v>
      </c>
      <c r="Y163" s="250">
        <f t="shared" si="104"/>
        <v>0</v>
      </c>
      <c r="Z163" s="250">
        <f t="shared" si="104"/>
        <v>0</v>
      </c>
      <c r="AA163" s="250">
        <f t="shared" si="104"/>
        <v>0</v>
      </c>
      <c r="AB163" s="250">
        <f t="shared" si="104"/>
        <v>0</v>
      </c>
      <c r="AC163" s="250">
        <f t="shared" si="104"/>
        <v>0</v>
      </c>
      <c r="AD163" s="250">
        <f t="shared" si="104"/>
        <v>0</v>
      </c>
      <c r="AE163" s="250">
        <f t="shared" si="104"/>
        <v>0</v>
      </c>
      <c r="AF163" s="250">
        <f t="shared" si="104"/>
        <v>0</v>
      </c>
      <c r="AG163" s="250">
        <f t="shared" si="104"/>
        <v>0</v>
      </c>
      <c r="AH163" s="250">
        <f t="shared" si="104"/>
        <v>0</v>
      </c>
      <c r="AI163" s="250">
        <f t="shared" si="104"/>
        <v>0</v>
      </c>
      <c r="AJ163" s="250">
        <f t="shared" si="104"/>
        <v>0</v>
      </c>
    </row>
    <row r="164" spans="2:36" ht="16">
      <c r="B164" s="230"/>
      <c r="C164" s="230"/>
      <c r="D164" s="230"/>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row>
    <row r="165" spans="2:36" ht="16">
      <c r="B165" s="230" t="s">
        <v>205</v>
      </c>
      <c r="C165" s="230"/>
      <c r="D165" s="230"/>
      <c r="E165" s="274"/>
      <c r="F165" s="274"/>
      <c r="G165" s="250">
        <f>G149+G161+G162</f>
        <v>0</v>
      </c>
      <c r="H165" s="250">
        <f t="shared" ref="H165:AJ165" si="105">H149+H161+H162</f>
        <v>0</v>
      </c>
      <c r="I165" s="250">
        <f t="shared" si="105"/>
        <v>0</v>
      </c>
      <c r="J165" s="250">
        <f t="shared" si="105"/>
        <v>0</v>
      </c>
      <c r="K165" s="250">
        <f t="shared" si="105"/>
        <v>0</v>
      </c>
      <c r="L165" s="250">
        <f t="shared" si="105"/>
        <v>0</v>
      </c>
      <c r="M165" s="250">
        <f t="shared" si="105"/>
        <v>0</v>
      </c>
      <c r="N165" s="250">
        <f t="shared" si="105"/>
        <v>0</v>
      </c>
      <c r="O165" s="250">
        <f t="shared" si="105"/>
        <v>0</v>
      </c>
      <c r="P165" s="250">
        <f t="shared" si="105"/>
        <v>9384502.5291877873</v>
      </c>
      <c r="Q165" s="250">
        <f t="shared" si="105"/>
        <v>11233276.57921664</v>
      </c>
      <c r="R165" s="250">
        <f t="shared" si="105"/>
        <v>11306488.865989033</v>
      </c>
      <c r="S165" s="250">
        <f t="shared" si="105"/>
        <v>11173298.674121425</v>
      </c>
      <c r="T165" s="250">
        <f t="shared" si="105"/>
        <v>11082137.907035243</v>
      </c>
      <c r="U165" s="250">
        <f t="shared" si="105"/>
        <v>11034023.83008009</v>
      </c>
      <c r="V165" s="250">
        <f t="shared" si="105"/>
        <v>11029885.163739994</v>
      </c>
      <c r="W165" s="250">
        <f t="shared" si="105"/>
        <v>10576097.490618818</v>
      </c>
      <c r="X165" s="250">
        <f t="shared" si="105"/>
        <v>10136756.380222248</v>
      </c>
      <c r="Y165" s="250">
        <f t="shared" si="105"/>
        <v>9710495.7905676272</v>
      </c>
      <c r="Z165" s="250">
        <f t="shared" si="105"/>
        <v>10693331.315885209</v>
      </c>
      <c r="AA165" s="250">
        <f t="shared" si="105"/>
        <v>64158.032700897602</v>
      </c>
      <c r="AB165" s="250">
        <f t="shared" si="105"/>
        <v>92679.553053222597</v>
      </c>
      <c r="AC165" s="250">
        <f t="shared" si="105"/>
        <v>76879.222620633896</v>
      </c>
      <c r="AD165" s="250">
        <f t="shared" si="105"/>
        <v>60953.606266418006</v>
      </c>
      <c r="AE165" s="250">
        <f t="shared" si="105"/>
        <v>34613.080384750385</v>
      </c>
      <c r="AF165" s="250">
        <f t="shared" si="105"/>
        <v>0</v>
      </c>
      <c r="AG165" s="250">
        <f t="shared" si="105"/>
        <v>0</v>
      </c>
      <c r="AH165" s="250">
        <f t="shared" si="105"/>
        <v>0</v>
      </c>
      <c r="AI165" s="250">
        <f t="shared" si="105"/>
        <v>0</v>
      </c>
      <c r="AJ165" s="250">
        <f t="shared" si="105"/>
        <v>0</v>
      </c>
    </row>
    <row r="166" spans="2:36" ht="16" thickBot="1">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276"/>
      <c r="AF166" s="276"/>
      <c r="AG166" s="276"/>
      <c r="AH166" s="276"/>
      <c r="AI166" s="276"/>
      <c r="AJ166" s="276"/>
    </row>
    <row r="167" spans="2:36" s="11" customFormat="1" ht="16">
      <c r="B167" s="230"/>
      <c r="C167" s="230"/>
      <c r="D167" s="230"/>
      <c r="E167" s="230"/>
      <c r="F167" s="245"/>
      <c r="G167" s="255"/>
      <c r="H167" s="256"/>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row>
    <row r="168" spans="2:36" s="11" customFormat="1" ht="16">
      <c r="B168" s="229" t="s">
        <v>207</v>
      </c>
      <c r="C168" s="229"/>
      <c r="D168" s="229"/>
      <c r="E168" s="230"/>
      <c r="F168" s="245"/>
      <c r="G168" s="255"/>
      <c r="H168" s="256"/>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row>
    <row r="169" spans="2:36" s="11" customFormat="1" ht="16">
      <c r="B169" s="230" t="s">
        <v>208</v>
      </c>
      <c r="C169" s="230"/>
      <c r="D169" s="230"/>
      <c r="E169" s="230"/>
      <c r="F169" s="245"/>
      <c r="G169" s="311">
        <f>IF(OR(Inputs!$Q$104="No",Inputs!$Q$55="Performance-Based",Inputs!$Q$55="Neither"),0,IF(AND(Inputs!$Q$56="ITC",G$2=1),Inputs!$Q$59,IF(G$2&gt;1,0,IF(Inputs!$Q$56="Cash Grant",0,"ERROR"))))</f>
        <v>28296271.507218748</v>
      </c>
      <c r="H169" s="311">
        <f>IF(OR(Inputs!$Q$104="No",Inputs!$Q$55="Performance-Based",Inputs!$Q$55="Neither"),0,IF(AND(Inputs!$Q$56="ITC",H$2=1),Inputs!$Q$59,IF(H$2&gt;1,0,IF(Inputs!$Q$56="Cash Grant",0,"ERROR"))))</f>
        <v>0</v>
      </c>
      <c r="I169" s="311">
        <f>IF(OR(Inputs!$Q$104="No",Inputs!$Q$55="Performance-Based",Inputs!$Q$55="Neither"),0,IF(AND(Inputs!$Q$56="ITC",I$2=1),Inputs!$Q$59,IF(I$2&gt;1,0,IF(Inputs!$Q$56="Cash Grant",0,"ERROR"))))</f>
        <v>0</v>
      </c>
      <c r="J169" s="311">
        <f>IF(OR(Inputs!$Q$104="No",Inputs!$Q$55="Performance-Based",Inputs!$Q$55="Neither"),0,IF(AND(Inputs!$Q$56="ITC",J$2=1),Inputs!$Q$59,IF(J$2&gt;1,0,IF(Inputs!$Q$56="Cash Grant",0,"ERROR"))))</f>
        <v>0</v>
      </c>
      <c r="K169" s="311">
        <f>IF(OR(Inputs!$Q$104="No",Inputs!$Q$55="Performance-Based",Inputs!$Q$55="Neither"),0,IF(AND(Inputs!$Q$56="ITC",K$2=1),Inputs!$Q$59,IF(K$2&gt;1,0,IF(Inputs!$Q$56="Cash Grant",0,"ERROR"))))</f>
        <v>0</v>
      </c>
      <c r="L169" s="311">
        <f>IF(OR(Inputs!$Q$104="No",Inputs!$Q$55="Performance-Based",Inputs!$Q$55="Neither"),0,IF(AND(Inputs!$Q$56="ITC",L$2=1),Inputs!$Q$59,IF(L$2&gt;1,0,IF(Inputs!$Q$56="Cash Grant",0,"ERROR"))))</f>
        <v>0</v>
      </c>
      <c r="M169" s="311">
        <f>IF(OR(Inputs!$Q$104="No",Inputs!$Q$55="Performance-Based",Inputs!$Q$55="Neither"),0,IF(AND(Inputs!$Q$56="ITC",M$2=1),Inputs!$Q$59,IF(M$2&gt;1,0,IF(Inputs!$Q$56="Cash Grant",0,"ERROR"))))</f>
        <v>0</v>
      </c>
      <c r="N169" s="311">
        <f>IF(OR(Inputs!$Q$104="No",Inputs!$Q$55="Performance-Based",Inputs!$Q$55="Neither"),0,IF(AND(Inputs!$Q$56="ITC",N$2=1),Inputs!$Q$59,IF(N$2&gt;1,0,IF(Inputs!$Q$56="Cash Grant",0,"ERROR"))))</f>
        <v>0</v>
      </c>
      <c r="O169" s="311">
        <f>IF(OR(Inputs!$Q$104="No",Inputs!$Q$55="Performance-Based",Inputs!$Q$55="Neither"),0,IF(AND(Inputs!$Q$56="ITC",O$2=1),Inputs!$Q$59,IF(O$2&gt;1,0,IF(Inputs!$Q$56="Cash Grant",0,"ERROR"))))</f>
        <v>0</v>
      </c>
      <c r="P169" s="311">
        <f>IF(OR(Inputs!$Q$104="No",Inputs!$Q$55="Performance-Based",Inputs!$Q$55="Neither"),0,IF(AND(Inputs!$Q$56="ITC",P$2=1),Inputs!$Q$59,IF(P$2&gt;1,0,IF(Inputs!$Q$56="Cash Grant",0,"ERROR"))))</f>
        <v>0</v>
      </c>
      <c r="Q169" s="311">
        <f>IF(OR(Inputs!$Q$104="No",Inputs!$Q$55="Performance-Based",Inputs!$Q$55="Neither"),0,IF(AND(Inputs!$Q$56="ITC",Q$2=1),Inputs!$Q$59,IF(Q$2&gt;1,0,IF(Inputs!$Q$56="Cash Grant",0,"ERROR"))))</f>
        <v>0</v>
      </c>
      <c r="R169" s="311">
        <f>IF(OR(Inputs!$Q$104="No",Inputs!$Q$55="Performance-Based",Inputs!$Q$55="Neither"),0,IF(AND(Inputs!$Q$56="ITC",R$2=1),Inputs!$Q$59,IF(R$2&gt;1,0,IF(Inputs!$Q$56="Cash Grant",0,"ERROR"))))</f>
        <v>0</v>
      </c>
      <c r="S169" s="311">
        <f>IF(OR(Inputs!$Q$104="No",Inputs!$Q$55="Performance-Based",Inputs!$Q$55="Neither"),0,IF(AND(Inputs!$Q$56="ITC",S$2=1),Inputs!$Q$59,IF(S$2&gt;1,0,IF(Inputs!$Q$56="Cash Grant",0,"ERROR"))))</f>
        <v>0</v>
      </c>
      <c r="T169" s="311">
        <f>IF(OR(Inputs!$Q$104="No",Inputs!$Q$55="Performance-Based",Inputs!$Q$55="Neither"),0,IF(AND(Inputs!$Q$56="ITC",T$2=1),Inputs!$Q$59,IF(T$2&gt;1,0,IF(Inputs!$Q$56="Cash Grant",0,"ERROR"))))</f>
        <v>0</v>
      </c>
      <c r="U169" s="311">
        <f>IF(OR(Inputs!$Q$104="No",Inputs!$Q$55="Performance-Based",Inputs!$Q$55="Neither"),0,IF(AND(Inputs!$Q$56="ITC",U$2=1),Inputs!$Q$59,IF(U$2&gt;1,0,IF(Inputs!$Q$56="Cash Grant",0,"ERROR"))))</f>
        <v>0</v>
      </c>
      <c r="V169" s="311">
        <f>IF(OR(Inputs!$Q$104="No",Inputs!$Q$55="Performance-Based",Inputs!$Q$55="Neither"),0,IF(AND(Inputs!$Q$56="ITC",V$2=1),Inputs!$Q$59,IF(V$2&gt;1,0,IF(Inputs!$Q$56="Cash Grant",0,"ERROR"))))</f>
        <v>0</v>
      </c>
      <c r="W169" s="311">
        <f>IF(OR(Inputs!$Q$104="No",Inputs!$Q$55="Performance-Based",Inputs!$Q$55="Neither"),0,IF(AND(Inputs!$Q$56="ITC",W$2=1),Inputs!$Q$59,IF(W$2&gt;1,0,IF(Inputs!$Q$56="Cash Grant",0,"ERROR"))))</f>
        <v>0</v>
      </c>
      <c r="X169" s="311">
        <f>IF(OR(Inputs!$Q$104="No",Inputs!$Q$55="Performance-Based",Inputs!$Q$55="Neither"),0,IF(AND(Inputs!$Q$56="ITC",X$2=1),Inputs!$Q$59,IF(X$2&gt;1,0,IF(Inputs!$Q$56="Cash Grant",0,"ERROR"))))</f>
        <v>0</v>
      </c>
      <c r="Y169" s="311">
        <f>IF(OR(Inputs!$Q$104="No",Inputs!$Q$55="Performance-Based",Inputs!$Q$55="Neither"),0,IF(AND(Inputs!$Q$56="ITC",Y$2=1),Inputs!$Q$59,IF(Y$2&gt;1,0,IF(Inputs!$Q$56="Cash Grant",0,"ERROR"))))</f>
        <v>0</v>
      </c>
      <c r="Z169" s="311">
        <f>IF(OR(Inputs!$Q$104="No",Inputs!$Q$55="Performance-Based",Inputs!$Q$55="Neither"),0,IF(AND(Inputs!$Q$56="ITC",Z$2=1),Inputs!$Q$59,IF(Z$2&gt;1,0,IF(Inputs!$Q$56="Cash Grant",0,"ERROR"))))</f>
        <v>0</v>
      </c>
      <c r="AA169" s="311">
        <f>IF(OR(Inputs!$Q$104="No",Inputs!$Q$55="Performance-Based",Inputs!$Q$55="Neither"),0,IF(AND(Inputs!$Q$56="ITC",AA$2=1),Inputs!$Q$59,IF(AA$2&gt;1,0,IF(Inputs!$Q$56="Cash Grant",0,"ERROR"))))</f>
        <v>0</v>
      </c>
      <c r="AB169" s="311">
        <f>IF(OR(Inputs!$Q$104="No",Inputs!$Q$55="Performance-Based",Inputs!$Q$55="Neither"),0,IF(AND(Inputs!$Q$56="ITC",AB$2=1),Inputs!$Q$59,IF(AB$2&gt;1,0,IF(Inputs!$Q$56="Cash Grant",0,"ERROR"))))</f>
        <v>0</v>
      </c>
      <c r="AC169" s="311">
        <f>IF(OR(Inputs!$Q$104="No",Inputs!$Q$55="Performance-Based",Inputs!$Q$55="Neither"),0,IF(AND(Inputs!$Q$56="ITC",AC$2=1),Inputs!$Q$59,IF(AC$2&gt;1,0,IF(Inputs!$Q$56="Cash Grant",0,"ERROR"))))</f>
        <v>0</v>
      </c>
      <c r="AD169" s="311">
        <f>IF(OR(Inputs!$Q$104="No",Inputs!$Q$55="Performance-Based",Inputs!$Q$55="Neither"),0,IF(AND(Inputs!$Q$56="ITC",AD$2=1),Inputs!$Q$59,IF(AD$2&gt;1,0,IF(Inputs!$Q$56="Cash Grant",0,"ERROR"))))</f>
        <v>0</v>
      </c>
      <c r="AE169" s="311">
        <f>IF(OR(Inputs!$Q$104="No",Inputs!$Q$55="Performance-Based",Inputs!$Q$55="Neither"),0,IF(AND(Inputs!$Q$56="ITC",AE$2=1),Inputs!$Q$59,IF(AE$2&gt;1,0,IF(Inputs!$Q$56="Cash Grant",0,"ERROR"))))</f>
        <v>0</v>
      </c>
      <c r="AF169" s="311">
        <f>IF(OR(Inputs!$Q$104="No",Inputs!$Q$55="Performance-Based",Inputs!$Q$55="Neither"),0,IF(AND(Inputs!$Q$56="ITC",AF$2=1),Inputs!$Q$59,IF(AF$2&gt;1,0,IF(Inputs!$Q$56="Cash Grant",0,"ERROR"))))</f>
        <v>0</v>
      </c>
      <c r="AG169" s="311">
        <f>IF(OR(Inputs!$Q$104="No",Inputs!$Q$55="Performance-Based",Inputs!$Q$55="Neither"),0,IF(AND(Inputs!$Q$56="ITC",AG$2=1),Inputs!$Q$59,IF(AG$2&gt;1,0,IF(Inputs!$Q$56="Cash Grant",0,"ERROR"))))</f>
        <v>0</v>
      </c>
      <c r="AH169" s="311">
        <f>IF(OR(Inputs!$Q$104="No",Inputs!$Q$55="Performance-Based",Inputs!$Q$55="Neither"),0,IF(AND(Inputs!$Q$56="ITC",AH$2=1),Inputs!$Q$59,IF(AH$2&gt;1,0,IF(Inputs!$Q$56="Cash Grant",0,"ERROR"))))</f>
        <v>0</v>
      </c>
      <c r="AI169" s="311">
        <f>IF(OR(Inputs!$Q$104="No",Inputs!$Q$55="Performance-Based",Inputs!$Q$55="Neither"),0,IF(AND(Inputs!$Q$56="ITC",AI$2=1),Inputs!$Q$59,IF(AI$2&gt;1,0,IF(Inputs!$Q$56="Cash Grant",0,"ERROR"))))</f>
        <v>0</v>
      </c>
      <c r="AJ169" s="311">
        <f>IF(OR(Inputs!$Q$104="No",Inputs!$Q$55="Performance-Based",Inputs!$Q$55="Neither"),0,IF(AND(Inputs!$Q$56="ITC",AJ$2=1),Inputs!$Q$59,IF(AJ$2&gt;1,0,IF(Inputs!$Q$56="Cash Grant",0,"ERROR"))))</f>
        <v>0</v>
      </c>
    </row>
    <row r="170" spans="2:36" s="11" customFormat="1" ht="16">
      <c r="B170" s="230" t="s">
        <v>168</v>
      </c>
      <c r="C170" s="230"/>
      <c r="D170" s="230"/>
      <c r="E170" s="230"/>
      <c r="F170" s="245"/>
      <c r="G170" s="250">
        <f>IF(OR(Inputs!$Q$104="No",Inputs!$Q$55="Cost-Based",Inputs!$Q$55="Neither"),0,IF(Inputs!$Q$60="Tax Credit",IF(G$2&gt;Inputs!$Q$63,0,Inputs!$Q$61/100*G$9*Inputs!$Q$62*G$5*(1-MIN(Inputs!$Q$65/Inputs!$G$75,50%))),0))</f>
        <v>0</v>
      </c>
      <c r="H170" s="250">
        <f>IF(OR(Inputs!$Q$104="No",Inputs!$Q$55="Cost-Based",Inputs!$Q$55="Neither"),0,IF(Inputs!$Q$60="Tax Credit",IF(H$2&gt;Inputs!$Q$63,0,Inputs!$Q$61/100*H$9*Inputs!$Q$62*H$5*(1-MIN(Inputs!$Q$65/Inputs!$G$75,50%))),0))</f>
        <v>0</v>
      </c>
      <c r="I170" s="250">
        <f>IF(OR(Inputs!$Q$104="No",Inputs!$Q$55="Cost-Based",Inputs!$Q$55="Neither"),0,IF(Inputs!$Q$60="Tax Credit",IF(I$2&gt;Inputs!$Q$63,0,Inputs!$Q$61/100*I$9*Inputs!$Q$62*I$5*(1-MIN(Inputs!$Q$65/Inputs!$G$75,50%))),0))</f>
        <v>0</v>
      </c>
      <c r="J170" s="250">
        <f>IF(OR(Inputs!$Q$104="No",Inputs!$Q$55="Cost-Based",Inputs!$Q$55="Neither"),0,IF(Inputs!$Q$60="Tax Credit",IF(J$2&gt;Inputs!$Q$63,0,Inputs!$Q$61/100*J$9*Inputs!$Q$62*J$5*(1-MIN(Inputs!$Q$65/Inputs!$G$75,50%))),0))</f>
        <v>0</v>
      </c>
      <c r="K170" s="250">
        <f>IF(OR(Inputs!$Q$104="No",Inputs!$Q$55="Cost-Based",Inputs!$Q$55="Neither"),0,IF(Inputs!$Q$60="Tax Credit",IF(K$2&gt;Inputs!$Q$63,0,Inputs!$Q$61/100*K$9*Inputs!$Q$62*K$5*(1-MIN(Inputs!$Q$65/Inputs!$G$75,50%))),0))</f>
        <v>0</v>
      </c>
      <c r="L170" s="250">
        <f>IF(OR(Inputs!$Q$104="No",Inputs!$Q$55="Cost-Based",Inputs!$Q$55="Neither"),0,IF(Inputs!$Q$60="Tax Credit",IF(L$2&gt;Inputs!$Q$63,0,Inputs!$Q$61/100*L$9*Inputs!$Q$62*L$5*(1-MIN(Inputs!$Q$65/Inputs!$G$75,50%))),0))</f>
        <v>0</v>
      </c>
      <c r="M170" s="250">
        <f>IF(OR(Inputs!$Q$104="No",Inputs!$Q$55="Cost-Based",Inputs!$Q$55="Neither"),0,IF(Inputs!$Q$60="Tax Credit",IF(M$2&gt;Inputs!$Q$63,0,Inputs!$Q$61/100*M$9*Inputs!$Q$62*M$5*(1-MIN(Inputs!$Q$65/Inputs!$G$75,50%))),0))</f>
        <v>0</v>
      </c>
      <c r="N170" s="250">
        <f>IF(OR(Inputs!$Q$104="No",Inputs!$Q$55="Cost-Based",Inputs!$Q$55="Neither"),0,IF(Inputs!$Q$60="Tax Credit",IF(N$2&gt;Inputs!$Q$63,0,Inputs!$Q$61/100*N$9*Inputs!$Q$62*N$5*(1-MIN(Inputs!$Q$65/Inputs!$G$75,50%))),0))</f>
        <v>0</v>
      </c>
      <c r="O170" s="250">
        <f>IF(OR(Inputs!$Q$104="No",Inputs!$Q$55="Cost-Based",Inputs!$Q$55="Neither"),0,IF(Inputs!$Q$60="Tax Credit",IF(O$2&gt;Inputs!$Q$63,0,Inputs!$Q$61/100*O$9*Inputs!$Q$62*O$5*(1-MIN(Inputs!$Q$65/Inputs!$G$75,50%))),0))</f>
        <v>0</v>
      </c>
      <c r="P170" s="250">
        <f>IF(OR(Inputs!$Q$104="No",Inputs!$Q$55="Cost-Based",Inputs!$Q$55="Neither"),0,IF(Inputs!$Q$60="Tax Credit",IF(P$2&gt;Inputs!$Q$63,0,Inputs!$Q$61/100*P$9*Inputs!$Q$62*P$5*(1-MIN(Inputs!$Q$65/Inputs!$G$75,50%))),0))</f>
        <v>0</v>
      </c>
      <c r="Q170" s="250">
        <f>IF(OR(Inputs!$Q$104="No",Inputs!$Q$55="Cost-Based",Inputs!$Q$55="Neither"),0,IF(Inputs!$Q$60="Tax Credit",IF(Q$2&gt;Inputs!$Q$63,0,Inputs!$Q$61/100*Q$9*Inputs!$Q$62*Q$5*(1-MIN(Inputs!$Q$65/Inputs!$G$75,50%))),0))</f>
        <v>0</v>
      </c>
      <c r="R170" s="250">
        <f>IF(OR(Inputs!$Q$104="No",Inputs!$Q$55="Cost-Based",Inputs!$Q$55="Neither"),0,IF(Inputs!$Q$60="Tax Credit",IF(R$2&gt;Inputs!$Q$63,0,Inputs!$Q$61/100*R$9*Inputs!$Q$62*R$5*(1-MIN(Inputs!$Q$65/Inputs!$G$75,50%))),0))</f>
        <v>0</v>
      </c>
      <c r="S170" s="250">
        <f>IF(OR(Inputs!$Q$104="No",Inputs!$Q$55="Cost-Based",Inputs!$Q$55="Neither"),0,IF(Inputs!$Q$60="Tax Credit",IF(S$2&gt;Inputs!$Q$63,0,Inputs!$Q$61/100*S$9*Inputs!$Q$62*S$5*(1-MIN(Inputs!$Q$65/Inputs!$G$75,50%))),0))</f>
        <v>0</v>
      </c>
      <c r="T170" s="250">
        <f>IF(OR(Inputs!$Q$104="No",Inputs!$Q$55="Cost-Based",Inputs!$Q$55="Neither"),0,IF(Inputs!$Q$60="Tax Credit",IF(T$2&gt;Inputs!$Q$63,0,Inputs!$Q$61/100*T$9*Inputs!$Q$62*T$5*(1-MIN(Inputs!$Q$65/Inputs!$G$75,50%))),0))</f>
        <v>0</v>
      </c>
      <c r="U170" s="250">
        <f>IF(OR(Inputs!$Q$104="No",Inputs!$Q$55="Cost-Based",Inputs!$Q$55="Neither"),0,IF(Inputs!$Q$60="Tax Credit",IF(U$2&gt;Inputs!$Q$63,0,Inputs!$Q$61/100*U$9*Inputs!$Q$62*U$5*(1-MIN(Inputs!$Q$65/Inputs!$G$75,50%))),0))</f>
        <v>0</v>
      </c>
      <c r="V170" s="250">
        <f>IF(OR(Inputs!$Q$104="No",Inputs!$Q$55="Cost-Based",Inputs!$Q$55="Neither"),0,IF(Inputs!$Q$60="Tax Credit",IF(V$2&gt;Inputs!$Q$63,0,Inputs!$Q$61/100*V$9*Inputs!$Q$62*V$5*(1-MIN(Inputs!$Q$65/Inputs!$G$75,50%))),0))</f>
        <v>0</v>
      </c>
      <c r="W170" s="250">
        <f>IF(OR(Inputs!$Q$104="No",Inputs!$Q$55="Cost-Based",Inputs!$Q$55="Neither"),0,IF(Inputs!$Q$60="Tax Credit",IF(W$2&gt;Inputs!$Q$63,0,Inputs!$Q$61/100*W$9*Inputs!$Q$62*W$5*(1-MIN(Inputs!$Q$65/Inputs!$G$75,50%))),0))</f>
        <v>0</v>
      </c>
      <c r="X170" s="250">
        <f>IF(OR(Inputs!$Q$104="No",Inputs!$Q$55="Cost-Based",Inputs!$Q$55="Neither"),0,IF(Inputs!$Q$60="Tax Credit",IF(X$2&gt;Inputs!$Q$63,0,Inputs!$Q$61/100*X$9*Inputs!$Q$62*X$5*(1-MIN(Inputs!$Q$65/Inputs!$G$75,50%))),0))</f>
        <v>0</v>
      </c>
      <c r="Y170" s="250">
        <f>IF(OR(Inputs!$Q$104="No",Inputs!$Q$55="Cost-Based",Inputs!$Q$55="Neither"),0,IF(Inputs!$Q$60="Tax Credit",IF(Y$2&gt;Inputs!$Q$63,0,Inputs!$Q$61/100*Y$9*Inputs!$Q$62*Y$5*(1-MIN(Inputs!$Q$65/Inputs!$G$75,50%))),0))</f>
        <v>0</v>
      </c>
      <c r="Z170" s="250">
        <f>IF(OR(Inputs!$Q$104="No",Inputs!$Q$55="Cost-Based",Inputs!$Q$55="Neither"),0,IF(Inputs!$Q$60="Tax Credit",IF(Z$2&gt;Inputs!$Q$63,0,Inputs!$Q$61/100*Z$9*Inputs!$Q$62*Z$5*(1-MIN(Inputs!$Q$65/Inputs!$G$75,50%))),0))</f>
        <v>0</v>
      </c>
      <c r="AA170" s="250">
        <f>IF(OR(Inputs!$Q$104="No",Inputs!$Q$55="Cost-Based",Inputs!$Q$55="Neither"),0,IF(Inputs!$Q$60="Tax Credit",IF(AA$2&gt;Inputs!$Q$63,0,Inputs!$Q$61/100*AA$9*Inputs!$Q$62*AA$5*(1-MIN(Inputs!$Q$65/Inputs!$G$75,50%))),0))</f>
        <v>0</v>
      </c>
      <c r="AB170" s="250">
        <f>IF(OR(Inputs!$Q$104="No",Inputs!$Q$55="Cost-Based",Inputs!$Q$55="Neither"),0,IF(Inputs!$Q$60="Tax Credit",IF(AB$2&gt;Inputs!$Q$63,0,Inputs!$Q$61/100*AB$9*Inputs!$Q$62*AB$5*(1-MIN(Inputs!$Q$65/Inputs!$G$75,50%))),0))</f>
        <v>0</v>
      </c>
      <c r="AC170" s="250">
        <f>IF(OR(Inputs!$Q$104="No",Inputs!$Q$55="Cost-Based",Inputs!$Q$55="Neither"),0,IF(Inputs!$Q$60="Tax Credit",IF(AC$2&gt;Inputs!$Q$63,0,Inputs!$Q$61/100*AC$9*Inputs!$Q$62*AC$5*(1-MIN(Inputs!$Q$65/Inputs!$G$75,50%))),0))</f>
        <v>0</v>
      </c>
      <c r="AD170" s="250">
        <f>IF(OR(Inputs!$Q$104="No",Inputs!$Q$55="Cost-Based",Inputs!$Q$55="Neither"),0,IF(Inputs!$Q$60="Tax Credit",IF(AD$2&gt;Inputs!$Q$63,0,Inputs!$Q$61/100*AD$9*Inputs!$Q$62*AD$5*(1-MIN(Inputs!$Q$65/Inputs!$G$75,50%))),0))</f>
        <v>0</v>
      </c>
      <c r="AE170" s="250">
        <f>IF(OR(Inputs!$Q$104="No",Inputs!$Q$55="Cost-Based",Inputs!$Q$55="Neither"),0,IF(Inputs!$Q$60="Tax Credit",IF(AE$2&gt;Inputs!$Q$63,0,Inputs!$Q$61/100*AE$9*Inputs!$Q$62*AE$5*(1-MIN(Inputs!$Q$65/Inputs!$G$75,50%))),0))</f>
        <v>0</v>
      </c>
      <c r="AF170" s="250">
        <f>IF(OR(Inputs!$Q$104="No",Inputs!$Q$55="Cost-Based",Inputs!$Q$55="Neither"),0,IF(Inputs!$Q$60="Tax Credit",IF(AF$2&gt;Inputs!$Q$63,0,Inputs!$Q$61/100*AF$9*Inputs!$Q$62*AF$5*(1-MIN(Inputs!$Q$65/Inputs!$G$75,50%))),0))</f>
        <v>0</v>
      </c>
      <c r="AG170" s="250">
        <f>IF(OR(Inputs!$Q$104="No",Inputs!$Q$55="Cost-Based",Inputs!$Q$55="Neither"),0,IF(Inputs!$Q$60="Tax Credit",IF(AG$2&gt;Inputs!$Q$63,0,Inputs!$Q$61/100*AG$9*Inputs!$Q$62*AG$5*(1-MIN(Inputs!$Q$65/Inputs!$G$75,50%))),0))</f>
        <v>0</v>
      </c>
      <c r="AH170" s="250">
        <f>IF(OR(Inputs!$Q$104="No",Inputs!$Q$55="Cost-Based",Inputs!$Q$55="Neither"),0,IF(Inputs!$Q$60="Tax Credit",IF(AH$2&gt;Inputs!$Q$63,0,Inputs!$Q$61/100*AH$9*Inputs!$Q$62*AH$5*(1-MIN(Inputs!$Q$65/Inputs!$G$75,50%))),0))</f>
        <v>0</v>
      </c>
      <c r="AI170" s="250">
        <f>IF(OR(Inputs!$Q$104="No",Inputs!$Q$55="Cost-Based",Inputs!$Q$55="Neither"),0,IF(Inputs!$Q$60="Tax Credit",IF(AI$2&gt;Inputs!$Q$63,0,Inputs!$Q$61/100*AI$9*Inputs!$Q$62*AI$5*(1-MIN(Inputs!$Q$65/Inputs!$G$75,50%))),0))</f>
        <v>0</v>
      </c>
      <c r="AJ170" s="250">
        <f>IF(OR(Inputs!$Q$104="No",Inputs!$Q$55="Cost-Based",Inputs!$Q$55="Neither"),0,IF(Inputs!$Q$60="Tax Credit",IF(AJ$2&gt;Inputs!$Q$63,0,Inputs!$Q$61/100*AJ$9*Inputs!$Q$62*AJ$5*(1-MIN(Inputs!$Q$65/Inputs!$G$75,50%))),0))</f>
        <v>0</v>
      </c>
    </row>
    <row r="171" spans="2:36" s="11" customFormat="1" ht="16">
      <c r="B171" s="230"/>
      <c r="C171" s="230"/>
      <c r="D171" s="230"/>
      <c r="E171" s="230"/>
      <c r="F171" s="245"/>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c r="AJ171" s="250"/>
    </row>
    <row r="172" spans="2:36" s="11" customFormat="1" ht="16">
      <c r="B172" s="230" t="s">
        <v>210</v>
      </c>
      <c r="C172" s="230"/>
      <c r="D172" s="230"/>
      <c r="E172" s="230"/>
      <c r="F172" s="245"/>
      <c r="G172" s="250">
        <f>SUM(G169:G170)</f>
        <v>28296271.507218748</v>
      </c>
      <c r="H172" s="250">
        <f t="shared" ref="H172:AJ172" si="106">SUM(H169:H170)</f>
        <v>0</v>
      </c>
      <c r="I172" s="250">
        <f t="shared" si="106"/>
        <v>0</v>
      </c>
      <c r="J172" s="250">
        <f t="shared" si="106"/>
        <v>0</v>
      </c>
      <c r="K172" s="250">
        <f t="shared" si="106"/>
        <v>0</v>
      </c>
      <c r="L172" s="250">
        <f t="shared" si="106"/>
        <v>0</v>
      </c>
      <c r="M172" s="250">
        <f t="shared" si="106"/>
        <v>0</v>
      </c>
      <c r="N172" s="250">
        <f t="shared" si="106"/>
        <v>0</v>
      </c>
      <c r="O172" s="250">
        <f t="shared" si="106"/>
        <v>0</v>
      </c>
      <c r="P172" s="250">
        <f t="shared" si="106"/>
        <v>0</v>
      </c>
      <c r="Q172" s="250">
        <f t="shared" si="106"/>
        <v>0</v>
      </c>
      <c r="R172" s="250">
        <f t="shared" si="106"/>
        <v>0</v>
      </c>
      <c r="S172" s="250">
        <f t="shared" si="106"/>
        <v>0</v>
      </c>
      <c r="T172" s="250">
        <f t="shared" si="106"/>
        <v>0</v>
      </c>
      <c r="U172" s="250">
        <f t="shared" si="106"/>
        <v>0</v>
      </c>
      <c r="V172" s="250">
        <f t="shared" si="106"/>
        <v>0</v>
      </c>
      <c r="W172" s="250">
        <f t="shared" si="106"/>
        <v>0</v>
      </c>
      <c r="X172" s="250">
        <f t="shared" si="106"/>
        <v>0</v>
      </c>
      <c r="Y172" s="250">
        <f t="shared" si="106"/>
        <v>0</v>
      </c>
      <c r="Z172" s="250">
        <f t="shared" si="106"/>
        <v>0</v>
      </c>
      <c r="AA172" s="250">
        <f t="shared" si="106"/>
        <v>0</v>
      </c>
      <c r="AB172" s="250">
        <f t="shared" si="106"/>
        <v>0</v>
      </c>
      <c r="AC172" s="250">
        <f t="shared" si="106"/>
        <v>0</v>
      </c>
      <c r="AD172" s="250">
        <f t="shared" si="106"/>
        <v>0</v>
      </c>
      <c r="AE172" s="250">
        <f t="shared" si="106"/>
        <v>0</v>
      </c>
      <c r="AF172" s="250">
        <f t="shared" si="106"/>
        <v>0</v>
      </c>
      <c r="AG172" s="250">
        <f t="shared" si="106"/>
        <v>0</v>
      </c>
      <c r="AH172" s="250">
        <f t="shared" si="106"/>
        <v>0</v>
      </c>
      <c r="AI172" s="250">
        <f t="shared" si="106"/>
        <v>0</v>
      </c>
      <c r="AJ172" s="250">
        <f t="shared" si="106"/>
        <v>0</v>
      </c>
    </row>
    <row r="173" spans="2:36" s="11" customFormat="1" ht="16">
      <c r="B173" s="230"/>
      <c r="C173" s="230"/>
      <c r="D173" s="230"/>
      <c r="E173" s="230"/>
      <c r="F173" s="245"/>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c r="AJ173" s="250"/>
    </row>
    <row r="174" spans="2:36" s="11" customFormat="1" ht="16">
      <c r="B174" s="312" t="s">
        <v>211</v>
      </c>
      <c r="C174" s="312"/>
      <c r="D174" s="312"/>
      <c r="E174" s="230"/>
      <c r="F174" s="245"/>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row>
    <row r="175" spans="2:36" s="11" customFormat="1" ht="16">
      <c r="B175" s="230" t="str">
        <f>B66</f>
        <v>Federal Income Taxes Saved / (Paid), before ITC/PTC</v>
      </c>
      <c r="C175" s="230"/>
      <c r="D175" s="230"/>
      <c r="E175" s="230"/>
      <c r="F175" s="245"/>
      <c r="G175" s="250" t="str">
        <f>IF(Inputs!$Q$106="as generated","N/A",'Cash Flow'!G66)</f>
        <v>N/A</v>
      </c>
      <c r="H175" s="250" t="str">
        <f>IF(Inputs!$Q$106="as generated","N/A",'Cash Flow'!H66)</f>
        <v>N/A</v>
      </c>
      <c r="I175" s="250" t="str">
        <f>IF(Inputs!$Q$106="as generated","N/A",'Cash Flow'!I66)</f>
        <v>N/A</v>
      </c>
      <c r="J175" s="250" t="str">
        <f>IF(Inputs!$Q$106="as generated","N/A",'Cash Flow'!J66)</f>
        <v>N/A</v>
      </c>
      <c r="K175" s="250" t="str">
        <f>IF(Inputs!$Q$106="as generated","N/A",'Cash Flow'!K66)</f>
        <v>N/A</v>
      </c>
      <c r="L175" s="250" t="str">
        <f>IF(Inputs!$Q$106="as generated","N/A",'Cash Flow'!L66)</f>
        <v>N/A</v>
      </c>
      <c r="M175" s="250" t="str">
        <f>IF(Inputs!$Q$106="as generated","N/A",'Cash Flow'!M66)</f>
        <v>N/A</v>
      </c>
      <c r="N175" s="250" t="str">
        <f>IF(Inputs!$Q$106="as generated","N/A",'Cash Flow'!N66)</f>
        <v>N/A</v>
      </c>
      <c r="O175" s="250" t="str">
        <f>IF(Inputs!$Q$106="as generated","N/A",'Cash Flow'!O66)</f>
        <v>N/A</v>
      </c>
      <c r="P175" s="250" t="str">
        <f>IF(Inputs!$Q$106="as generated","N/A",'Cash Flow'!P66)</f>
        <v>N/A</v>
      </c>
      <c r="Q175" s="250" t="str">
        <f>IF(Inputs!$Q$106="as generated","N/A",'Cash Flow'!Q66)</f>
        <v>N/A</v>
      </c>
      <c r="R175" s="250" t="str">
        <f>IF(Inputs!$Q$106="as generated","N/A",'Cash Flow'!R66)</f>
        <v>N/A</v>
      </c>
      <c r="S175" s="250" t="str">
        <f>IF(Inputs!$Q$106="as generated","N/A",'Cash Flow'!S66)</f>
        <v>N/A</v>
      </c>
      <c r="T175" s="250" t="str">
        <f>IF(Inputs!$Q$106="as generated","N/A",'Cash Flow'!T66)</f>
        <v>N/A</v>
      </c>
      <c r="U175" s="250" t="str">
        <f>IF(Inputs!$Q$106="as generated","N/A",'Cash Flow'!U66)</f>
        <v>N/A</v>
      </c>
      <c r="V175" s="250" t="str">
        <f>IF(Inputs!$Q$106="as generated","N/A",'Cash Flow'!V66)</f>
        <v>N/A</v>
      </c>
      <c r="W175" s="250" t="str">
        <f>IF(Inputs!$Q$106="as generated","N/A",'Cash Flow'!W66)</f>
        <v>N/A</v>
      </c>
      <c r="X175" s="250" t="str">
        <f>IF(Inputs!$Q$106="as generated","N/A",'Cash Flow'!X66)</f>
        <v>N/A</v>
      </c>
      <c r="Y175" s="250" t="str">
        <f>IF(Inputs!$Q$106="as generated","N/A",'Cash Flow'!Y66)</f>
        <v>N/A</v>
      </c>
      <c r="Z175" s="250" t="str">
        <f>IF(Inputs!$Q$106="as generated","N/A",'Cash Flow'!Z66)</f>
        <v>N/A</v>
      </c>
      <c r="AA175" s="250" t="str">
        <f>IF(Inputs!$Q$106="as generated","N/A",'Cash Flow'!AA66)</f>
        <v>N/A</v>
      </c>
      <c r="AB175" s="250" t="str">
        <f>IF(Inputs!$Q$106="as generated","N/A",'Cash Flow'!AB66)</f>
        <v>N/A</v>
      </c>
      <c r="AC175" s="250" t="str">
        <f>IF(Inputs!$Q$106="as generated","N/A",'Cash Flow'!AC66)</f>
        <v>N/A</v>
      </c>
      <c r="AD175" s="250" t="str">
        <f>IF(Inputs!$Q$106="as generated","N/A",'Cash Flow'!AD66)</f>
        <v>N/A</v>
      </c>
      <c r="AE175" s="250" t="str">
        <f>IF(Inputs!$Q$106="as generated","N/A",'Cash Flow'!AE66)</f>
        <v>N/A</v>
      </c>
      <c r="AF175" s="250" t="str">
        <f>IF(Inputs!$Q$106="as generated","N/A",'Cash Flow'!AF66)</f>
        <v>N/A</v>
      </c>
      <c r="AG175" s="250" t="str">
        <f>IF(Inputs!$Q$106="as generated","N/A",'Cash Flow'!AG66)</f>
        <v>N/A</v>
      </c>
      <c r="AH175" s="250" t="str">
        <f>IF(Inputs!$Q$106="as generated","N/A",'Cash Flow'!AH66)</f>
        <v>N/A</v>
      </c>
      <c r="AI175" s="250" t="str">
        <f>IF(Inputs!$Q$106="as generated","N/A",'Cash Flow'!AI66)</f>
        <v>N/A</v>
      </c>
      <c r="AJ175" s="250" t="str">
        <f>IF(Inputs!$Q$106="as generated","N/A",'Cash Flow'!AJ66)</f>
        <v>N/A</v>
      </c>
    </row>
    <row r="176" spans="2:36" s="11" customFormat="1" ht="16">
      <c r="B176" s="230"/>
      <c r="C176" s="230"/>
      <c r="D176" s="230"/>
      <c r="E176" s="230"/>
      <c r="F176" s="245"/>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row>
    <row r="177" spans="2:36" s="11" customFormat="1" ht="16">
      <c r="B177" s="230" t="s">
        <v>248</v>
      </c>
      <c r="C177" s="230"/>
      <c r="D177" s="230"/>
      <c r="E177" s="230"/>
      <c r="F177" s="245"/>
      <c r="G177" s="250">
        <v>0</v>
      </c>
      <c r="H177" s="250">
        <f>IF(Inputs!$Q$106="as generated",0,G180)</f>
        <v>0</v>
      </c>
      <c r="I177" s="250">
        <f>IF(Inputs!$Q$106="as generated",0,H180)</f>
        <v>0</v>
      </c>
      <c r="J177" s="250">
        <f>IF(Inputs!$Q$106="as generated",0,I180)</f>
        <v>0</v>
      </c>
      <c r="K177" s="250">
        <f>IF(Inputs!$Q$106="as generated",0,J180)</f>
        <v>0</v>
      </c>
      <c r="L177" s="250">
        <f>IF(Inputs!$Q$106="as generated",0,K180)</f>
        <v>0</v>
      </c>
      <c r="M177" s="250">
        <f>IF(Inputs!$Q$106="as generated",0,L180)</f>
        <v>0</v>
      </c>
      <c r="N177" s="250">
        <f>IF(Inputs!$Q$106="as generated",0,M180)</f>
        <v>0</v>
      </c>
      <c r="O177" s="250">
        <f>IF(Inputs!$Q$106="as generated",0,N180)</f>
        <v>0</v>
      </c>
      <c r="P177" s="250">
        <f>IF(Inputs!$Q$106="as generated",0,O180)</f>
        <v>0</v>
      </c>
      <c r="Q177" s="250">
        <f>IF(Inputs!$Q$106="as generated",0,P180)</f>
        <v>0</v>
      </c>
      <c r="R177" s="250">
        <f>IF(Inputs!$Q$106="as generated",0,Q180)</f>
        <v>0</v>
      </c>
      <c r="S177" s="250">
        <f>IF(Inputs!$Q$106="as generated",0,R180)</f>
        <v>0</v>
      </c>
      <c r="T177" s="250">
        <f>IF(Inputs!$Q$106="as generated",0,S180)</f>
        <v>0</v>
      </c>
      <c r="U177" s="250">
        <f>IF(Inputs!$Q$106="as generated",0,T180)</f>
        <v>0</v>
      </c>
      <c r="V177" s="250">
        <f>IF(Inputs!$Q$106="as generated",0,U180)</f>
        <v>0</v>
      </c>
      <c r="W177" s="250">
        <f>IF(Inputs!$Q$106="as generated",0,V180)</f>
        <v>0</v>
      </c>
      <c r="X177" s="250">
        <f>IF(Inputs!$Q$106="as generated",0,W180)</f>
        <v>0</v>
      </c>
      <c r="Y177" s="250">
        <f>IF(Inputs!$Q$106="as generated",0,X180)</f>
        <v>0</v>
      </c>
      <c r="Z177" s="250">
        <f>IF(Inputs!$Q$106="as generated",0,Y180)</f>
        <v>0</v>
      </c>
      <c r="AA177" s="250">
        <f>IF(Inputs!$Q$106="as generated",0,Z180)</f>
        <v>0</v>
      </c>
      <c r="AB177" s="250">
        <f>IF(Inputs!$Q$106="as generated",0,AA180)</f>
        <v>0</v>
      </c>
      <c r="AC177" s="250">
        <f>IF(Inputs!$Q$106="as generated",0,AB180)</f>
        <v>0</v>
      </c>
      <c r="AD177" s="250">
        <f>IF(Inputs!$Q$106="as generated",0,AC180)</f>
        <v>0</v>
      </c>
      <c r="AE177" s="250">
        <f>IF(Inputs!$Q$106="as generated",0,AD180)</f>
        <v>0</v>
      </c>
      <c r="AF177" s="250">
        <f>IF(Inputs!$Q$106="as generated",0,AE180)</f>
        <v>0</v>
      </c>
      <c r="AG177" s="250">
        <f>IF(Inputs!$Q$106="as generated",0,AF180)</f>
        <v>0</v>
      </c>
      <c r="AH177" s="250">
        <f>IF(Inputs!$Q$106="as generated",0,AG180)</f>
        <v>0</v>
      </c>
      <c r="AI177" s="250">
        <f>IF(Inputs!$Q$106="as generated",0,AH180)</f>
        <v>0</v>
      </c>
      <c r="AJ177" s="250">
        <f>IF(Inputs!$Q$106="as generated",0,AI180)</f>
        <v>0</v>
      </c>
    </row>
    <row r="178" spans="2:36" s="11" customFormat="1" ht="16">
      <c r="B178" s="230" t="s">
        <v>249</v>
      </c>
      <c r="C178" s="230"/>
      <c r="D178" s="230"/>
      <c r="E178" s="230"/>
      <c r="F178" s="245"/>
      <c r="G178" s="250">
        <f>IF(Inputs!$Q$106="as generated",0,IF(G175&lt;=0,G172,0))</f>
        <v>0</v>
      </c>
      <c r="H178" s="250">
        <f>IF(Inputs!$Q$106="as generated",0,IF(H175&lt;=0,H172,0))</f>
        <v>0</v>
      </c>
      <c r="I178" s="250">
        <f>IF(Inputs!$Q$106="as generated",0,IF(I175&lt;=0,I172,0))</f>
        <v>0</v>
      </c>
      <c r="J178" s="250">
        <f>IF(Inputs!$Q$106="as generated",0,IF(J175&lt;=0,J172,0))</f>
        <v>0</v>
      </c>
      <c r="K178" s="250">
        <f>IF(Inputs!$Q$106="as generated",0,IF(K175&lt;=0,K172,0))</f>
        <v>0</v>
      </c>
      <c r="L178" s="250">
        <f>IF(Inputs!$Q$106="as generated",0,IF(L175&lt;=0,L172,0))</f>
        <v>0</v>
      </c>
      <c r="M178" s="250">
        <f>IF(Inputs!$Q$106="as generated",0,IF(M175&lt;=0,M172,0))</f>
        <v>0</v>
      </c>
      <c r="N178" s="250">
        <f>IF(Inputs!$Q$106="as generated",0,IF(N175&lt;=0,N172,0))</f>
        <v>0</v>
      </c>
      <c r="O178" s="250">
        <f>IF(Inputs!$Q$106="as generated",0,IF(O175&lt;=0,O172,0))</f>
        <v>0</v>
      </c>
      <c r="P178" s="250">
        <f>IF(Inputs!$Q$106="as generated",0,IF(P175&lt;=0,P172,0))</f>
        <v>0</v>
      </c>
      <c r="Q178" s="250">
        <f>IF(Inputs!$Q$106="as generated",0,IF(Q175&lt;=0,Q172,0))</f>
        <v>0</v>
      </c>
      <c r="R178" s="250">
        <f>IF(Inputs!$Q$106="as generated",0,IF(R175&lt;=0,R172,0))</f>
        <v>0</v>
      </c>
      <c r="S178" s="250">
        <f>IF(Inputs!$Q$106="as generated",0,IF(S175&lt;=0,S172,0))</f>
        <v>0</v>
      </c>
      <c r="T178" s="250">
        <f>IF(Inputs!$Q$106="as generated",0,IF(T175&lt;=0,T172,0))</f>
        <v>0</v>
      </c>
      <c r="U178" s="250">
        <f>IF(Inputs!$Q$106="as generated",0,IF(U175&lt;=0,U172,0))</f>
        <v>0</v>
      </c>
      <c r="V178" s="250">
        <f>IF(Inputs!$Q$106="as generated",0,IF(V175&lt;=0,V172,0))</f>
        <v>0</v>
      </c>
      <c r="W178" s="250">
        <f>IF(Inputs!$Q$106="as generated",0,IF(W175&lt;=0,W172,0))</f>
        <v>0</v>
      </c>
      <c r="X178" s="250">
        <f>IF(Inputs!$Q$106="as generated",0,IF(X175&lt;=0,X172,0))</f>
        <v>0</v>
      </c>
      <c r="Y178" s="250">
        <f>IF(Inputs!$Q$106="as generated",0,IF(Y175&lt;=0,Y172,0))</f>
        <v>0</v>
      </c>
      <c r="Z178" s="250">
        <f>IF(Inputs!$Q$106="as generated",0,IF(Z175&lt;=0,Z172,0))</f>
        <v>0</v>
      </c>
      <c r="AA178" s="250">
        <f>IF(Inputs!$Q$106="as generated",0,IF(AA175&lt;=0,AA172,0))</f>
        <v>0</v>
      </c>
      <c r="AB178" s="250">
        <f>IF(Inputs!$Q$106="as generated",0,IF(AB175&lt;=0,AB172,0))</f>
        <v>0</v>
      </c>
      <c r="AC178" s="250">
        <f>IF(Inputs!$Q$106="as generated",0,IF(AC175&lt;=0,AC172,0))</f>
        <v>0</v>
      </c>
      <c r="AD178" s="250">
        <f>IF(Inputs!$Q$106="as generated",0,IF(AD175&lt;=0,AD172,0))</f>
        <v>0</v>
      </c>
      <c r="AE178" s="250">
        <f>IF(Inputs!$Q$106="as generated",0,IF(AE175&lt;=0,AE172,0))</f>
        <v>0</v>
      </c>
      <c r="AF178" s="250">
        <f>IF(Inputs!$Q$106="as generated",0,IF(AF175&lt;=0,AF172,0))</f>
        <v>0</v>
      </c>
      <c r="AG178" s="250">
        <f>IF(Inputs!$Q$106="as generated",0,IF(AG175&lt;=0,AG172,0))</f>
        <v>0</v>
      </c>
      <c r="AH178" s="250">
        <f>IF(Inputs!$Q$106="as generated",0,IF(AH175&lt;=0,AH172,0))</f>
        <v>0</v>
      </c>
      <c r="AI178" s="250">
        <f>IF(Inputs!$Q$106="as generated",0,IF(AI175&lt;=0,AI172,0))</f>
        <v>0</v>
      </c>
      <c r="AJ178" s="250">
        <f>IF(Inputs!$Q$106="as generated",0,IF(AJ175&lt;=0,AJ172,0))</f>
        <v>0</v>
      </c>
    </row>
    <row r="179" spans="2:36" s="11" customFormat="1" ht="16">
      <c r="B179" s="230" t="s">
        <v>250</v>
      </c>
      <c r="C179" s="230"/>
      <c r="D179" s="230"/>
      <c r="E179" s="230"/>
      <c r="F179" s="245"/>
      <c r="G179" s="250">
        <f>IF(Inputs!$Q$106="as generated",0,IF(G$175&lt;0,MAX(G$175,-G$178),0))</f>
        <v>0</v>
      </c>
      <c r="H179" s="250">
        <f>IF(Inputs!$Q$106="as generated",0,IF(H$175&lt;0,MAX(H$175,-G$180),0))</f>
        <v>0</v>
      </c>
      <c r="I179" s="250">
        <f>IF(Inputs!$Q$106="as generated",0,IF(I$175&lt;0,MAX(I$175,-H$180),0))</f>
        <v>0</v>
      </c>
      <c r="J179" s="250">
        <f>IF(Inputs!$Q$106="as generated",0,IF(J$175&lt;0,MAX(J$175,-I$180),0))</f>
        <v>0</v>
      </c>
      <c r="K179" s="250">
        <f>IF(Inputs!$Q$106="as generated",0,IF(K$175&lt;0,MAX(K$175,-J$180),0))</f>
        <v>0</v>
      </c>
      <c r="L179" s="250">
        <f>IF(Inputs!$Q$106="as generated",0,IF(L$175&lt;0,MAX(L$175,-K$180),0))</f>
        <v>0</v>
      </c>
      <c r="M179" s="250">
        <f>IF(Inputs!$Q$106="as generated",0,IF(M$175&lt;0,MAX(M$175,-L$180),0))</f>
        <v>0</v>
      </c>
      <c r="N179" s="250">
        <f>IF(Inputs!$Q$106="as generated",0,IF(N$175&lt;0,MAX(N$175,-M$180),0))</f>
        <v>0</v>
      </c>
      <c r="O179" s="250">
        <f>IF(Inputs!$Q$106="as generated",0,IF(O$175&lt;0,MAX(O$175,-N$180),0))</f>
        <v>0</v>
      </c>
      <c r="P179" s="250">
        <f>IF(Inputs!$Q$106="as generated",0,IF(P$175&lt;0,MAX(P$175,-O$180),0))</f>
        <v>0</v>
      </c>
      <c r="Q179" s="250">
        <f>IF(Inputs!$Q$106="as generated",0,IF(Q$175&lt;0,MAX(Q$175,-P$180),0))</f>
        <v>0</v>
      </c>
      <c r="R179" s="250">
        <f>IF(Inputs!$Q$106="as generated",0,IF(R$175&lt;0,MAX(R$175,-Q$180),0))</f>
        <v>0</v>
      </c>
      <c r="S179" s="250">
        <f>IF(Inputs!$Q$106="as generated",0,IF(S$175&lt;0,MAX(S$175,-R$180),0))</f>
        <v>0</v>
      </c>
      <c r="T179" s="250">
        <f>IF(Inputs!$Q$106="as generated",0,IF(T$175&lt;0,MAX(T$175,-S$180),0))</f>
        <v>0</v>
      </c>
      <c r="U179" s="250">
        <f>IF(Inputs!$Q$106="as generated",0,IF(U$175&lt;0,MAX(U$175,-T$180),0))</f>
        <v>0</v>
      </c>
      <c r="V179" s="250">
        <f>IF(Inputs!$Q$106="as generated",0,IF(V$175&lt;0,MAX(V$175,-U$180),0))</f>
        <v>0</v>
      </c>
      <c r="W179" s="250">
        <f>IF(Inputs!$Q$106="as generated",0,IF(W$175&lt;0,MAX(W$175,-V$180),0))</f>
        <v>0</v>
      </c>
      <c r="X179" s="250">
        <f>IF(Inputs!$Q$106="as generated",0,IF(X$175&lt;0,MAX(X$175,-W$180),0))</f>
        <v>0</v>
      </c>
      <c r="Y179" s="250">
        <f>IF(Inputs!$Q$106="as generated",0,IF(Y$175&lt;0,MAX(Y$175,-X$180),0))</f>
        <v>0</v>
      </c>
      <c r="Z179" s="250">
        <f>IF(Inputs!$Q$106="as generated",0,IF(Z$175&lt;0,MAX(Z$175,-Y$180),0))</f>
        <v>0</v>
      </c>
      <c r="AA179" s="250">
        <f>IF(Inputs!$Q$106="as generated",0,IF(AA$175&lt;0,MAX(AA$175,-Z$180),0))</f>
        <v>0</v>
      </c>
      <c r="AB179" s="250">
        <f>IF(Inputs!$Q$106="as generated",0,IF(AB$175&lt;0,MAX(AB$175,-AA$180),0))</f>
        <v>0</v>
      </c>
      <c r="AC179" s="250">
        <f>IF(Inputs!$Q$106="as generated",0,IF(AC$175&lt;0,MAX(AC$175,-AB$180),0))</f>
        <v>0</v>
      </c>
      <c r="AD179" s="250">
        <f>IF(Inputs!$Q$106="as generated",0,IF(AD$175&lt;0,MAX(AD$175,-AC$180),0))</f>
        <v>0</v>
      </c>
      <c r="AE179" s="250">
        <f>IF(Inputs!$Q$106="as generated",0,IF(AE$175&lt;0,MAX(AE$175,-AD$180),0))</f>
        <v>0</v>
      </c>
      <c r="AF179" s="250">
        <f>IF(Inputs!$Q$106="as generated",0,IF(AF$175&lt;0,MAX(AF$175,-AE$180),0))</f>
        <v>0</v>
      </c>
      <c r="AG179" s="250">
        <f>IF(Inputs!$Q$106="as generated",0,IF(AG$175&lt;0,MAX(AG$175,-AF$180),0))</f>
        <v>0</v>
      </c>
      <c r="AH179" s="250">
        <f>IF(Inputs!$Q$106="as generated",0,IF(AH$175&lt;0,MAX(AH$175,-AG$180),0))</f>
        <v>0</v>
      </c>
      <c r="AI179" s="250">
        <f>IF(Inputs!$Q$106="as generated",0,IF(AI$175&lt;0,MAX(AI$175,-AH$180),0))</f>
        <v>0</v>
      </c>
      <c r="AJ179" s="250">
        <f>IF(Inputs!$Q$106="as generated",0,IF(AJ$175&lt;0,MAX(AJ$175,-AI$180),0))</f>
        <v>0</v>
      </c>
    </row>
    <row r="180" spans="2:36" s="11" customFormat="1" ht="16">
      <c r="B180" s="230" t="s">
        <v>251</v>
      </c>
      <c r="C180" s="230"/>
      <c r="D180" s="230"/>
      <c r="E180" s="230"/>
      <c r="F180" s="250">
        <v>0</v>
      </c>
      <c r="G180" s="250">
        <f>SUM(G177:G179)</f>
        <v>0</v>
      </c>
      <c r="H180" s="250">
        <f t="shared" ref="H180:AJ180" si="107">SUM(H177:H179)</f>
        <v>0</v>
      </c>
      <c r="I180" s="250">
        <f t="shared" si="107"/>
        <v>0</v>
      </c>
      <c r="J180" s="250">
        <f t="shared" si="107"/>
        <v>0</v>
      </c>
      <c r="K180" s="250">
        <f t="shared" si="107"/>
        <v>0</v>
      </c>
      <c r="L180" s="250">
        <f t="shared" si="107"/>
        <v>0</v>
      </c>
      <c r="M180" s="250">
        <f t="shared" si="107"/>
        <v>0</v>
      </c>
      <c r="N180" s="250">
        <f t="shared" si="107"/>
        <v>0</v>
      </c>
      <c r="O180" s="250">
        <f t="shared" si="107"/>
        <v>0</v>
      </c>
      <c r="P180" s="250">
        <f t="shared" si="107"/>
        <v>0</v>
      </c>
      <c r="Q180" s="250">
        <f t="shared" si="107"/>
        <v>0</v>
      </c>
      <c r="R180" s="250">
        <f t="shared" si="107"/>
        <v>0</v>
      </c>
      <c r="S180" s="250">
        <f t="shared" si="107"/>
        <v>0</v>
      </c>
      <c r="T180" s="250">
        <f t="shared" si="107"/>
        <v>0</v>
      </c>
      <c r="U180" s="250">
        <f t="shared" si="107"/>
        <v>0</v>
      </c>
      <c r="V180" s="250">
        <f t="shared" si="107"/>
        <v>0</v>
      </c>
      <c r="W180" s="250">
        <f t="shared" si="107"/>
        <v>0</v>
      </c>
      <c r="X180" s="250">
        <f t="shared" si="107"/>
        <v>0</v>
      </c>
      <c r="Y180" s="250">
        <f t="shared" si="107"/>
        <v>0</v>
      </c>
      <c r="Z180" s="250">
        <f t="shared" si="107"/>
        <v>0</v>
      </c>
      <c r="AA180" s="250">
        <f t="shared" si="107"/>
        <v>0</v>
      </c>
      <c r="AB180" s="250">
        <f t="shared" si="107"/>
        <v>0</v>
      </c>
      <c r="AC180" s="250">
        <f t="shared" si="107"/>
        <v>0</v>
      </c>
      <c r="AD180" s="250">
        <f t="shared" si="107"/>
        <v>0</v>
      </c>
      <c r="AE180" s="250">
        <f t="shared" si="107"/>
        <v>0</v>
      </c>
      <c r="AF180" s="250">
        <f t="shared" si="107"/>
        <v>0</v>
      </c>
      <c r="AG180" s="250">
        <f t="shared" si="107"/>
        <v>0</v>
      </c>
      <c r="AH180" s="250">
        <f t="shared" si="107"/>
        <v>0</v>
      </c>
      <c r="AI180" s="250">
        <f t="shared" si="107"/>
        <v>0</v>
      </c>
      <c r="AJ180" s="250">
        <f t="shared" si="107"/>
        <v>0</v>
      </c>
    </row>
    <row r="181" spans="2:36" s="11" customFormat="1" ht="16">
      <c r="B181" s="230"/>
      <c r="C181" s="230"/>
      <c r="D181" s="230"/>
      <c r="E181" s="230"/>
      <c r="F181" s="245"/>
      <c r="G181" s="245"/>
      <c r="H181" s="256"/>
      <c r="I181" s="230"/>
      <c r="J181" s="230"/>
      <c r="K181" s="23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c r="AG181" s="230"/>
      <c r="AH181" s="230"/>
      <c r="AI181" s="230"/>
      <c r="AJ181" s="230"/>
    </row>
    <row r="182" spans="2:36" s="11" customFormat="1" ht="16">
      <c r="B182" s="229" t="s">
        <v>212</v>
      </c>
      <c r="C182" s="229"/>
      <c r="D182" s="229"/>
      <c r="E182" s="230"/>
      <c r="F182" s="245"/>
      <c r="G182" s="255"/>
      <c r="H182" s="256"/>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c r="AE182" s="230"/>
      <c r="AF182" s="230"/>
      <c r="AG182" s="230"/>
      <c r="AH182" s="230"/>
      <c r="AI182" s="230"/>
      <c r="AJ182" s="230"/>
    </row>
    <row r="183" spans="2:36" s="11" customFormat="1" ht="16">
      <c r="B183" s="230" t="s">
        <v>209</v>
      </c>
      <c r="C183" s="230"/>
      <c r="D183" s="230"/>
      <c r="E183" s="230"/>
      <c r="F183" s="245"/>
      <c r="G183" s="311">
        <f>IF(OR(Inputs!$Q$104="No",Inputs!$Q$69="Performance-Based",Inputs!$Q$69="Neither"),0,IF(G$2&lt;=Inputs!$Q$72,($C$102*(Inputs!$Q$70*(1-Inputs!$Q$105))*Inputs!$Q$71)/Inputs!$Q$72,0))</f>
        <v>0</v>
      </c>
      <c r="H183" s="311">
        <f>IF(OR(Inputs!$Q$104="No",Inputs!$Q$69="Performance-Based",Inputs!$Q$69="Neither"),0,IF(H$2&lt;=Inputs!$Q$72,($C$102*(Inputs!$Q$70*(1-Inputs!$Q$105))*Inputs!$Q$71)/Inputs!$Q$72,0))</f>
        <v>0</v>
      </c>
      <c r="I183" s="311">
        <f>IF(OR(Inputs!$Q$104="No",Inputs!$Q$69="Performance-Based",Inputs!$Q$69="Neither"),0,IF(I$2&lt;=Inputs!$Q$72,($C$102*(Inputs!$Q$70*(1-Inputs!$Q$105))*Inputs!$Q$71)/Inputs!$Q$72,0))</f>
        <v>0</v>
      </c>
      <c r="J183" s="311">
        <f>IF(OR(Inputs!$Q$104="No",Inputs!$Q$69="Performance-Based",Inputs!$Q$69="Neither"),0,IF(J$2&lt;=Inputs!$Q$72,($C$102*(Inputs!$Q$70*(1-Inputs!$Q$105))*Inputs!$Q$71)/Inputs!$Q$72,0))</f>
        <v>0</v>
      </c>
      <c r="K183" s="311">
        <f>IF(OR(Inputs!$Q$104="No",Inputs!$Q$69="Performance-Based",Inputs!$Q$69="Neither"),0,IF(K$2&lt;=Inputs!$Q$72,($C$102*(Inputs!$Q$70*(1-Inputs!$Q$105))*Inputs!$Q$71)/Inputs!$Q$72,0))</f>
        <v>0</v>
      </c>
      <c r="L183" s="311">
        <f>IF(OR(Inputs!$Q$104="No",Inputs!$Q$69="Performance-Based",Inputs!$Q$69="Neither"),0,IF(L$2&lt;=Inputs!$Q$72,($C$102*(Inputs!$Q$70*(1-Inputs!$Q$105))*Inputs!$Q$71)/Inputs!$Q$72,0))</f>
        <v>0</v>
      </c>
      <c r="M183" s="311">
        <f>IF(OR(Inputs!$Q$104="No",Inputs!$Q$69="Performance-Based",Inputs!$Q$69="Neither"),0,IF(M$2&lt;=Inputs!$Q$72,($C$102*(Inputs!$Q$70*(1-Inputs!$Q$105))*Inputs!$Q$71)/Inputs!$Q$72,0))</f>
        <v>0</v>
      </c>
      <c r="N183" s="311">
        <f>IF(OR(Inputs!$Q$104="No",Inputs!$Q$69="Performance-Based",Inputs!$Q$69="Neither"),0,IF(N$2&lt;=Inputs!$Q$72,($C$102*(Inputs!$Q$70*(1-Inputs!$Q$105))*Inputs!$Q$71)/Inputs!$Q$72,0))</f>
        <v>0</v>
      </c>
      <c r="O183" s="311">
        <f>IF(OR(Inputs!$Q$104="No",Inputs!$Q$69="Performance-Based",Inputs!$Q$69="Neither"),0,IF(O$2&lt;=Inputs!$Q$72,($C$102*(Inputs!$Q$70*(1-Inputs!$Q$105))*Inputs!$Q$71)/Inputs!$Q$72,0))</f>
        <v>0</v>
      </c>
      <c r="P183" s="311">
        <f>IF(OR(Inputs!$Q$104="No",Inputs!$Q$69="Performance-Based",Inputs!$Q$69="Neither"),0,IF(P$2&lt;=Inputs!$Q$72,($C$102*(Inputs!$Q$70*(1-Inputs!$Q$105))*Inputs!$Q$71)/Inputs!$Q$72,0))</f>
        <v>0</v>
      </c>
      <c r="Q183" s="311">
        <f>IF(OR(Inputs!$Q$104="No",Inputs!$Q$69="Performance-Based",Inputs!$Q$69="Neither"),0,IF(Q$2&lt;=Inputs!$Q$72,($C$102*(Inputs!$Q$70*(1-Inputs!$Q$105))*Inputs!$Q$71)/Inputs!$Q$72,0))</f>
        <v>0</v>
      </c>
      <c r="R183" s="311">
        <f>IF(OR(Inputs!$Q$104="No",Inputs!$Q$69="Performance-Based",Inputs!$Q$69="Neither"),0,IF(R$2&lt;=Inputs!$Q$72,($C$102*(Inputs!$Q$70*(1-Inputs!$Q$105))*Inputs!$Q$71)/Inputs!$Q$72,0))</f>
        <v>0</v>
      </c>
      <c r="S183" s="311">
        <f>IF(OR(Inputs!$Q$104="No",Inputs!$Q$69="Performance-Based",Inputs!$Q$69="Neither"),0,IF(S$2&lt;=Inputs!$Q$72,($C$102*(Inputs!$Q$70*(1-Inputs!$Q$105))*Inputs!$Q$71)/Inputs!$Q$72,0))</f>
        <v>0</v>
      </c>
      <c r="T183" s="311">
        <f>IF(OR(Inputs!$Q$104="No",Inputs!$Q$69="Performance-Based",Inputs!$Q$69="Neither"),0,IF(T$2&lt;=Inputs!$Q$72,($C$102*(Inputs!$Q$70*(1-Inputs!$Q$105))*Inputs!$Q$71)/Inputs!$Q$72,0))</f>
        <v>0</v>
      </c>
      <c r="U183" s="311">
        <f>IF(OR(Inputs!$Q$104="No",Inputs!$Q$69="Performance-Based",Inputs!$Q$69="Neither"),0,IF(U$2&lt;=Inputs!$Q$72,($C$102*(Inputs!$Q$70*(1-Inputs!$Q$105))*Inputs!$Q$71)/Inputs!$Q$72,0))</f>
        <v>0</v>
      </c>
      <c r="V183" s="311">
        <f>IF(OR(Inputs!$Q$104="No",Inputs!$Q$69="Performance-Based",Inputs!$Q$69="Neither"),0,IF(V$2&lt;=Inputs!$Q$72,($C$102*(Inputs!$Q$70*(1-Inputs!$Q$105))*Inputs!$Q$71)/Inputs!$Q$72,0))</f>
        <v>0</v>
      </c>
      <c r="W183" s="311">
        <f>IF(OR(Inputs!$Q$104="No",Inputs!$Q$69="Performance-Based",Inputs!$Q$69="Neither"),0,IF(W$2&lt;=Inputs!$Q$72,($C$102*(Inputs!$Q$70*(1-Inputs!$Q$105))*Inputs!$Q$71)/Inputs!$Q$72,0))</f>
        <v>0</v>
      </c>
      <c r="X183" s="311">
        <f>IF(OR(Inputs!$Q$104="No",Inputs!$Q$69="Performance-Based",Inputs!$Q$69="Neither"),0,IF(X$2&lt;=Inputs!$Q$72,($C$102*(Inputs!$Q$70*(1-Inputs!$Q$105))*Inputs!$Q$71)/Inputs!$Q$72,0))</f>
        <v>0</v>
      </c>
      <c r="Y183" s="311">
        <f>IF(OR(Inputs!$Q$104="No",Inputs!$Q$69="Performance-Based",Inputs!$Q$69="Neither"),0,IF(Y$2&lt;=Inputs!$Q$72,($C$102*(Inputs!$Q$70*(1-Inputs!$Q$105))*Inputs!$Q$71)/Inputs!$Q$72,0))</f>
        <v>0</v>
      </c>
      <c r="Z183" s="311">
        <f>IF(OR(Inputs!$Q$104="No",Inputs!$Q$69="Performance-Based",Inputs!$Q$69="Neither"),0,IF(Z$2&lt;=Inputs!$Q$72,($C$102*(Inputs!$Q$70*(1-Inputs!$Q$105))*Inputs!$Q$71)/Inputs!$Q$72,0))</f>
        <v>0</v>
      </c>
      <c r="AA183" s="311">
        <f>IF(OR(Inputs!$Q$104="No",Inputs!$Q$69="Performance-Based",Inputs!$Q$69="Neither"),0,IF(AA$2&lt;=Inputs!$Q$72,($C$102*(Inputs!$Q$70*(1-Inputs!$Q$105))*Inputs!$Q$71)/Inputs!$Q$72,0))</f>
        <v>0</v>
      </c>
      <c r="AB183" s="311">
        <f>IF(OR(Inputs!$Q$104="No",Inputs!$Q$69="Performance-Based",Inputs!$Q$69="Neither"),0,IF(AB$2&lt;=Inputs!$Q$72,($C$102*(Inputs!$Q$70*(1-Inputs!$Q$105))*Inputs!$Q$71)/Inputs!$Q$72,0))</f>
        <v>0</v>
      </c>
      <c r="AC183" s="311">
        <f>IF(OR(Inputs!$Q$104="No",Inputs!$Q$69="Performance-Based",Inputs!$Q$69="Neither"),0,IF(AC$2&lt;=Inputs!$Q$72,($C$102*(Inputs!$Q$70*(1-Inputs!$Q$105))*Inputs!$Q$71)/Inputs!$Q$72,0))</f>
        <v>0</v>
      </c>
      <c r="AD183" s="311">
        <f>IF(OR(Inputs!$Q$104="No",Inputs!$Q$69="Performance-Based",Inputs!$Q$69="Neither"),0,IF(AD$2&lt;=Inputs!$Q$72,($C$102*(Inputs!$Q$70*(1-Inputs!$Q$105))*Inputs!$Q$71)/Inputs!$Q$72,0))</f>
        <v>0</v>
      </c>
      <c r="AE183" s="311">
        <f>IF(OR(Inputs!$Q$104="No",Inputs!$Q$69="Performance-Based",Inputs!$Q$69="Neither"),0,IF(AE$2&lt;=Inputs!$Q$72,($C$102*(Inputs!$Q$70*(1-Inputs!$Q$105))*Inputs!$Q$71)/Inputs!$Q$72,0))</f>
        <v>0</v>
      </c>
      <c r="AF183" s="311">
        <f>IF(OR(Inputs!$Q$104="No",Inputs!$Q$69="Performance-Based",Inputs!$Q$69="Neither"),0,IF(AF$2&lt;=Inputs!$Q$72,($C$102*(Inputs!$Q$70*(1-Inputs!$Q$105))*Inputs!$Q$71)/Inputs!$Q$72,0))</f>
        <v>0</v>
      </c>
      <c r="AG183" s="311">
        <f>IF(OR(Inputs!$Q$104="No",Inputs!$Q$69="Performance-Based",Inputs!$Q$69="Neither"),0,IF(AG$2&lt;=Inputs!$Q$72,($C$102*(Inputs!$Q$70*(1-Inputs!$Q$105))*Inputs!$Q$71)/Inputs!$Q$72,0))</f>
        <v>0</v>
      </c>
      <c r="AH183" s="311">
        <f>IF(OR(Inputs!$Q$104="No",Inputs!$Q$69="Performance-Based",Inputs!$Q$69="Neither"),0,IF(AH$2&lt;=Inputs!$Q$72,($C$102*(Inputs!$Q$70*(1-Inputs!$Q$105))*Inputs!$Q$71)/Inputs!$Q$72,0))</f>
        <v>0</v>
      </c>
      <c r="AI183" s="311">
        <f>IF(OR(Inputs!$Q$104="No",Inputs!$Q$69="Performance-Based",Inputs!$Q$69="Neither"),0,IF(AI$2&lt;=Inputs!$Q$72,($C$102*(Inputs!$Q$70*(1-Inputs!$Q$105))*Inputs!$Q$71)/Inputs!$Q$72,0))</f>
        <v>0</v>
      </c>
      <c r="AJ183" s="311">
        <f>IF(OR(Inputs!$Q$104="No",Inputs!$Q$69="Performance-Based",Inputs!$Q$69="Neither"),0,IF(AJ$2&lt;=Inputs!$Q$72,($C$102*(Inputs!$Q$70*(1-Inputs!$Q$105))*Inputs!$Q$71)/Inputs!$Q$72,0))</f>
        <v>0</v>
      </c>
    </row>
    <row r="184" spans="2:36" s="11" customFormat="1" ht="16">
      <c r="B184" s="230" t="s">
        <v>169</v>
      </c>
      <c r="C184" s="230"/>
      <c r="D184" s="230"/>
      <c r="E184" s="230"/>
      <c r="F184" s="245"/>
      <c r="G184" s="250">
        <f>IF(OR(Inputs!$Q$104="No",Inputs!$Q$69="Cost-Based",Inputs!$Q$69="Neither"),0,IF(Inputs!$Q$74="Tax Credit",IF(G$2&gt;Inputs!$Q$79,0,IF(Inputs!$Q$75=0,Inputs!$Q$77/100*G$10*Inputs!$Q$78*G$5,MIN(Inputs!$Q$75,Inputs!$Q$77/100*G$10*Inputs!$Q$78*G$5))),0))</f>
        <v>0</v>
      </c>
      <c r="H184" s="250">
        <f>IF(OR(Inputs!$Q$104="No",Inputs!$Q$69="Cost-Based",Inputs!$Q$69="Neither"),0,IF(Inputs!$Q$74="Tax Credit",IF(H$2&gt;Inputs!$Q$79,0,IF(Inputs!$Q$75=0,Inputs!$Q$77/100*H$10*Inputs!$Q$78*H$5,MIN(Inputs!$Q$75,Inputs!$Q$77/100*H$10*Inputs!$Q$78*H$5))),0))</f>
        <v>0</v>
      </c>
      <c r="I184" s="250">
        <f>IF(OR(Inputs!$Q$104="No",Inputs!$Q$69="Cost-Based",Inputs!$Q$69="Neither"),0,IF(Inputs!$Q$74="Tax Credit",IF(I$2&gt;Inputs!$Q$79,0,IF(Inputs!$Q$75=0,Inputs!$Q$77/100*I$10*Inputs!$Q$78*I$5,MIN(Inputs!$Q$75,Inputs!$Q$77/100*I$10*Inputs!$Q$78*I$5))),0))</f>
        <v>0</v>
      </c>
      <c r="J184" s="250">
        <f>IF(OR(Inputs!$Q$104="No",Inputs!$Q$69="Cost-Based",Inputs!$Q$69="Neither"),0,IF(Inputs!$Q$74="Tax Credit",IF(J$2&gt;Inputs!$Q$79,0,IF(Inputs!$Q$75=0,Inputs!$Q$77/100*J$10*Inputs!$Q$78*J$5,MIN(Inputs!$Q$75,Inputs!$Q$77/100*J$10*Inputs!$Q$78*J$5))),0))</f>
        <v>0</v>
      </c>
      <c r="K184" s="250">
        <f>IF(OR(Inputs!$Q$104="No",Inputs!$Q$69="Cost-Based",Inputs!$Q$69="Neither"),0,IF(Inputs!$Q$74="Tax Credit",IF(K$2&gt;Inputs!$Q$79,0,IF(Inputs!$Q$75=0,Inputs!$Q$77/100*K$10*Inputs!$Q$78*K$5,MIN(Inputs!$Q$75,Inputs!$Q$77/100*K$10*Inputs!$Q$78*K$5))),0))</f>
        <v>0</v>
      </c>
      <c r="L184" s="250">
        <f>IF(OR(Inputs!$Q$104="No",Inputs!$Q$69="Cost-Based",Inputs!$Q$69="Neither"),0,IF(Inputs!$Q$74="Tax Credit",IF(L$2&gt;Inputs!$Q$79,0,IF(Inputs!$Q$75=0,Inputs!$Q$77/100*L$10*Inputs!$Q$78*L$5,MIN(Inputs!$Q$75,Inputs!$Q$77/100*L$10*Inputs!$Q$78*L$5))),0))</f>
        <v>0</v>
      </c>
      <c r="M184" s="250">
        <f>IF(OR(Inputs!$Q$104="No",Inputs!$Q$69="Cost-Based",Inputs!$Q$69="Neither"),0,IF(Inputs!$Q$74="Tax Credit",IF(M$2&gt;Inputs!$Q$79,0,IF(Inputs!$Q$75=0,Inputs!$Q$77/100*M$10*Inputs!$Q$78*M$5,MIN(Inputs!$Q$75,Inputs!$Q$77/100*M$10*Inputs!$Q$78*M$5))),0))</f>
        <v>0</v>
      </c>
      <c r="N184" s="250">
        <f>IF(OR(Inputs!$Q$104="No",Inputs!$Q$69="Cost-Based",Inputs!$Q$69="Neither"),0,IF(Inputs!$Q$74="Tax Credit",IF(N$2&gt;Inputs!$Q$79,0,IF(Inputs!$Q$75=0,Inputs!$Q$77/100*N$10*Inputs!$Q$78*N$5,MIN(Inputs!$Q$75,Inputs!$Q$77/100*N$10*Inputs!$Q$78*N$5))),0))</f>
        <v>0</v>
      </c>
      <c r="O184" s="250">
        <f>IF(OR(Inputs!$Q$104="No",Inputs!$Q$69="Cost-Based",Inputs!$Q$69="Neither"),0,IF(Inputs!$Q$74="Tax Credit",IF(O$2&gt;Inputs!$Q$79,0,IF(Inputs!$Q$75=0,Inputs!$Q$77/100*O$10*Inputs!$Q$78*O$5,MIN(Inputs!$Q$75,Inputs!$Q$77/100*O$10*Inputs!$Q$78*O$5))),0))</f>
        <v>0</v>
      </c>
      <c r="P184" s="250">
        <f>IF(OR(Inputs!$Q$104="No",Inputs!$Q$69="Cost-Based",Inputs!$Q$69="Neither"),0,IF(Inputs!$Q$74="Tax Credit",IF(P$2&gt;Inputs!$Q$79,0,IF(Inputs!$Q$75=0,Inputs!$Q$77/100*P$10*Inputs!$Q$78*P$5,MIN(Inputs!$Q$75,Inputs!$Q$77/100*P$10*Inputs!$Q$78*P$5))),0))</f>
        <v>0</v>
      </c>
      <c r="Q184" s="250">
        <f>IF(OR(Inputs!$Q$104="No",Inputs!$Q$69="Cost-Based",Inputs!$Q$69="Neither"),0,IF(Inputs!$Q$74="Tax Credit",IF(Q$2&gt;Inputs!$Q$79,0,IF(Inputs!$Q$75=0,Inputs!$Q$77/100*Q$10*Inputs!$Q$78*Q$5,MIN(Inputs!$Q$75,Inputs!$Q$77/100*Q$10*Inputs!$Q$78*Q$5))),0))</f>
        <v>0</v>
      </c>
      <c r="R184" s="250">
        <f>IF(OR(Inputs!$Q$104="No",Inputs!$Q$69="Cost-Based",Inputs!$Q$69="Neither"),0,IF(Inputs!$Q$74="Tax Credit",IF(R$2&gt;Inputs!$Q$79,0,IF(Inputs!$Q$75=0,Inputs!$Q$77/100*R$10*Inputs!$Q$78*R$5,MIN(Inputs!$Q$75,Inputs!$Q$77/100*R$10*Inputs!$Q$78*R$5))),0))</f>
        <v>0</v>
      </c>
      <c r="S184" s="250">
        <f>IF(OR(Inputs!$Q$104="No",Inputs!$Q$69="Cost-Based",Inputs!$Q$69="Neither"),0,IF(Inputs!$Q$74="Tax Credit",IF(S$2&gt;Inputs!$Q$79,0,IF(Inputs!$Q$75=0,Inputs!$Q$77/100*S$10*Inputs!$Q$78*S$5,MIN(Inputs!$Q$75,Inputs!$Q$77/100*S$10*Inputs!$Q$78*S$5))),0))</f>
        <v>0</v>
      </c>
      <c r="T184" s="250">
        <f>IF(OR(Inputs!$Q$104="No",Inputs!$Q$69="Cost-Based",Inputs!$Q$69="Neither"),0,IF(Inputs!$Q$74="Tax Credit",IF(T$2&gt;Inputs!$Q$79,0,IF(Inputs!$Q$75=0,Inputs!$Q$77/100*T$10*Inputs!$Q$78*T$5,MIN(Inputs!$Q$75,Inputs!$Q$77/100*T$10*Inputs!$Q$78*T$5))),0))</f>
        <v>0</v>
      </c>
      <c r="U184" s="250">
        <f>IF(OR(Inputs!$Q$104="No",Inputs!$Q$69="Cost-Based",Inputs!$Q$69="Neither"),0,IF(Inputs!$Q$74="Tax Credit",IF(U$2&gt;Inputs!$Q$79,0,IF(Inputs!$Q$75=0,Inputs!$Q$77/100*U$10*Inputs!$Q$78*U$5,MIN(Inputs!$Q$75,Inputs!$Q$77/100*U$10*Inputs!$Q$78*U$5))),0))</f>
        <v>0</v>
      </c>
      <c r="V184" s="250">
        <f>IF(OR(Inputs!$Q$104="No",Inputs!$Q$69="Cost-Based",Inputs!$Q$69="Neither"),0,IF(Inputs!$Q$74="Tax Credit",IF(V$2&gt;Inputs!$Q$79,0,IF(Inputs!$Q$75=0,Inputs!$Q$77/100*V$10*Inputs!$Q$78*V$5,MIN(Inputs!$Q$75,Inputs!$Q$77/100*V$10*Inputs!$Q$78*V$5))),0))</f>
        <v>0</v>
      </c>
      <c r="W184" s="250">
        <f>IF(OR(Inputs!$Q$104="No",Inputs!$Q$69="Cost-Based",Inputs!$Q$69="Neither"),0,IF(Inputs!$Q$74="Tax Credit",IF(W$2&gt;Inputs!$Q$79,0,IF(Inputs!$Q$75=0,Inputs!$Q$77/100*W$10*Inputs!$Q$78*W$5,MIN(Inputs!$Q$75,Inputs!$Q$77/100*W$10*Inputs!$Q$78*W$5))),0))</f>
        <v>0</v>
      </c>
      <c r="X184" s="250">
        <f>IF(OR(Inputs!$Q$104="No",Inputs!$Q$69="Cost-Based",Inputs!$Q$69="Neither"),0,IF(Inputs!$Q$74="Tax Credit",IF(X$2&gt;Inputs!$Q$79,0,IF(Inputs!$Q$75=0,Inputs!$Q$77/100*X$10*Inputs!$Q$78*X$5,MIN(Inputs!$Q$75,Inputs!$Q$77/100*X$10*Inputs!$Q$78*X$5))),0))</f>
        <v>0</v>
      </c>
      <c r="Y184" s="250">
        <f>IF(OR(Inputs!$Q$104="No",Inputs!$Q$69="Cost-Based",Inputs!$Q$69="Neither"),0,IF(Inputs!$Q$74="Tax Credit",IF(Y$2&gt;Inputs!$Q$79,0,IF(Inputs!$Q$75=0,Inputs!$Q$77/100*Y$10*Inputs!$Q$78*Y$5,MIN(Inputs!$Q$75,Inputs!$Q$77/100*Y$10*Inputs!$Q$78*Y$5))),0))</f>
        <v>0</v>
      </c>
      <c r="Z184" s="250">
        <f>IF(OR(Inputs!$Q$104="No",Inputs!$Q$69="Cost-Based",Inputs!$Q$69="Neither"),0,IF(Inputs!$Q$74="Tax Credit",IF(Z$2&gt;Inputs!$Q$79,0,IF(Inputs!$Q$75=0,Inputs!$Q$77/100*Z$10*Inputs!$Q$78*Z$5,MIN(Inputs!$Q$75,Inputs!$Q$77/100*Z$10*Inputs!$Q$78*Z$5))),0))</f>
        <v>0</v>
      </c>
      <c r="AA184" s="250">
        <f>IF(OR(Inputs!$Q$104="No",Inputs!$Q$69="Cost-Based",Inputs!$Q$69="Neither"),0,IF(Inputs!$Q$74="Tax Credit",IF(AA$2&gt;Inputs!$Q$79,0,IF(Inputs!$Q$75=0,Inputs!$Q$77/100*AA$10*Inputs!$Q$78*AA$5,MIN(Inputs!$Q$75,Inputs!$Q$77/100*AA$10*Inputs!$Q$78*AA$5))),0))</f>
        <v>0</v>
      </c>
      <c r="AB184" s="250">
        <f>IF(OR(Inputs!$Q$104="No",Inputs!$Q$69="Cost-Based",Inputs!$Q$69="Neither"),0,IF(Inputs!$Q$74="Tax Credit",IF(AB$2&gt;Inputs!$Q$79,0,IF(Inputs!$Q$75=0,Inputs!$Q$77/100*AB$10*Inputs!$Q$78*AB$5,MIN(Inputs!$Q$75,Inputs!$Q$77/100*AB$10*Inputs!$Q$78*AB$5))),0))</f>
        <v>0</v>
      </c>
      <c r="AC184" s="250">
        <f>IF(OR(Inputs!$Q$104="No",Inputs!$Q$69="Cost-Based",Inputs!$Q$69="Neither"),0,IF(Inputs!$Q$74="Tax Credit",IF(AC$2&gt;Inputs!$Q$79,0,IF(Inputs!$Q$75=0,Inputs!$Q$77/100*AC$10*Inputs!$Q$78*AC$5,MIN(Inputs!$Q$75,Inputs!$Q$77/100*AC$10*Inputs!$Q$78*AC$5))),0))</f>
        <v>0</v>
      </c>
      <c r="AD184" s="250">
        <f>IF(OR(Inputs!$Q$104="No",Inputs!$Q$69="Cost-Based",Inputs!$Q$69="Neither"),0,IF(Inputs!$Q$74="Tax Credit",IF(AD$2&gt;Inputs!$Q$79,0,IF(Inputs!$Q$75=0,Inputs!$Q$77/100*AD$10*Inputs!$Q$78*AD$5,MIN(Inputs!$Q$75,Inputs!$Q$77/100*AD$10*Inputs!$Q$78*AD$5))),0))</f>
        <v>0</v>
      </c>
      <c r="AE184" s="250">
        <f>IF(OR(Inputs!$Q$104="No",Inputs!$Q$69="Cost-Based",Inputs!$Q$69="Neither"),0,IF(Inputs!$Q$74="Tax Credit",IF(AE$2&gt;Inputs!$Q$79,0,IF(Inputs!$Q$75=0,Inputs!$Q$77/100*AE$10*Inputs!$Q$78*AE$5,MIN(Inputs!$Q$75,Inputs!$Q$77/100*AE$10*Inputs!$Q$78*AE$5))),0))</f>
        <v>0</v>
      </c>
      <c r="AF184" s="250">
        <f>IF(OR(Inputs!$Q$104="No",Inputs!$Q$69="Cost-Based",Inputs!$Q$69="Neither"),0,IF(Inputs!$Q$74="Tax Credit",IF(AF$2&gt;Inputs!$Q$79,0,IF(Inputs!$Q$75=0,Inputs!$Q$77/100*AF$10*Inputs!$Q$78*AF$5,MIN(Inputs!$Q$75,Inputs!$Q$77/100*AF$10*Inputs!$Q$78*AF$5))),0))</f>
        <v>0</v>
      </c>
      <c r="AG184" s="250">
        <f>IF(OR(Inputs!$Q$104="No",Inputs!$Q$69="Cost-Based",Inputs!$Q$69="Neither"),0,IF(Inputs!$Q$74="Tax Credit",IF(AG$2&gt;Inputs!$Q$79,0,IF(Inputs!$Q$75=0,Inputs!$Q$77/100*AG$10*Inputs!$Q$78*AG$5,MIN(Inputs!$Q$75,Inputs!$Q$77/100*AG$10*Inputs!$Q$78*AG$5))),0))</f>
        <v>0</v>
      </c>
      <c r="AH184" s="250">
        <f>IF(OR(Inputs!$Q$104="No",Inputs!$Q$69="Cost-Based",Inputs!$Q$69="Neither"),0,IF(Inputs!$Q$74="Tax Credit",IF(AH$2&gt;Inputs!$Q$79,0,IF(Inputs!$Q$75=0,Inputs!$Q$77/100*AH$10*Inputs!$Q$78*AH$5,MIN(Inputs!$Q$75,Inputs!$Q$77/100*AH$10*Inputs!$Q$78*AH$5))),0))</f>
        <v>0</v>
      </c>
      <c r="AI184" s="250">
        <f>IF(OR(Inputs!$Q$104="No",Inputs!$Q$69="Cost-Based",Inputs!$Q$69="Neither"),0,IF(Inputs!$Q$74="Tax Credit",IF(AI$2&gt;Inputs!$Q$79,0,IF(Inputs!$Q$75=0,Inputs!$Q$77/100*AI$10*Inputs!$Q$78*AI$5,MIN(Inputs!$Q$75,Inputs!$Q$77/100*AI$10*Inputs!$Q$78*AI$5))),0))</f>
        <v>0</v>
      </c>
      <c r="AJ184" s="250">
        <f>IF(OR(Inputs!$Q$104="No",Inputs!$Q$69="Cost-Based",Inputs!$Q$69="Neither"),0,IF(Inputs!$Q$74="Tax Credit",IF(AJ$2&gt;Inputs!$Q$79,0,IF(Inputs!$Q$75=0,Inputs!$Q$77/100*AJ$10*Inputs!$Q$78*AJ$5,MIN(Inputs!$Q$75,Inputs!$Q$77/100*AJ$10*Inputs!$Q$78*AJ$5))),0))</f>
        <v>0</v>
      </c>
    </row>
    <row r="185" spans="2:36" s="11" customFormat="1" ht="16">
      <c r="B185" s="230"/>
      <c r="C185" s="230"/>
      <c r="D185" s="230"/>
      <c r="E185" s="230"/>
      <c r="F185" s="245"/>
      <c r="G185" s="255"/>
      <c r="H185" s="256"/>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row>
    <row r="186" spans="2:36" s="11" customFormat="1" ht="16">
      <c r="B186" s="230" t="s">
        <v>210</v>
      </c>
      <c r="C186" s="230"/>
      <c r="D186" s="230"/>
      <c r="E186" s="230"/>
      <c r="F186" s="245"/>
      <c r="G186" s="250">
        <f>SUM(G183:G184)</f>
        <v>0</v>
      </c>
      <c r="H186" s="250">
        <f t="shared" ref="H186:AJ186" si="108">SUM(H183:H184)</f>
        <v>0</v>
      </c>
      <c r="I186" s="250">
        <f t="shared" si="108"/>
        <v>0</v>
      </c>
      <c r="J186" s="250">
        <f t="shared" si="108"/>
        <v>0</v>
      </c>
      <c r="K186" s="250">
        <f t="shared" si="108"/>
        <v>0</v>
      </c>
      <c r="L186" s="250">
        <f t="shared" si="108"/>
        <v>0</v>
      </c>
      <c r="M186" s="250">
        <f t="shared" si="108"/>
        <v>0</v>
      </c>
      <c r="N186" s="250">
        <f t="shared" si="108"/>
        <v>0</v>
      </c>
      <c r="O186" s="250">
        <f t="shared" si="108"/>
        <v>0</v>
      </c>
      <c r="P186" s="250">
        <f t="shared" si="108"/>
        <v>0</v>
      </c>
      <c r="Q186" s="250">
        <f t="shared" si="108"/>
        <v>0</v>
      </c>
      <c r="R186" s="250">
        <f t="shared" si="108"/>
        <v>0</v>
      </c>
      <c r="S186" s="250">
        <f t="shared" si="108"/>
        <v>0</v>
      </c>
      <c r="T186" s="250">
        <f t="shared" si="108"/>
        <v>0</v>
      </c>
      <c r="U186" s="250">
        <f t="shared" si="108"/>
        <v>0</v>
      </c>
      <c r="V186" s="250">
        <f t="shared" si="108"/>
        <v>0</v>
      </c>
      <c r="W186" s="250">
        <f t="shared" si="108"/>
        <v>0</v>
      </c>
      <c r="X186" s="250">
        <f t="shared" si="108"/>
        <v>0</v>
      </c>
      <c r="Y186" s="250">
        <f t="shared" si="108"/>
        <v>0</v>
      </c>
      <c r="Z186" s="250">
        <f t="shared" si="108"/>
        <v>0</v>
      </c>
      <c r="AA186" s="250">
        <f t="shared" si="108"/>
        <v>0</v>
      </c>
      <c r="AB186" s="250">
        <f t="shared" si="108"/>
        <v>0</v>
      </c>
      <c r="AC186" s="250">
        <f t="shared" si="108"/>
        <v>0</v>
      </c>
      <c r="AD186" s="250">
        <f t="shared" si="108"/>
        <v>0</v>
      </c>
      <c r="AE186" s="250">
        <f t="shared" si="108"/>
        <v>0</v>
      </c>
      <c r="AF186" s="250">
        <f t="shared" si="108"/>
        <v>0</v>
      </c>
      <c r="AG186" s="250">
        <f t="shared" si="108"/>
        <v>0</v>
      </c>
      <c r="AH186" s="250">
        <f t="shared" si="108"/>
        <v>0</v>
      </c>
      <c r="AI186" s="250">
        <f t="shared" si="108"/>
        <v>0</v>
      </c>
      <c r="AJ186" s="250">
        <f t="shared" si="108"/>
        <v>0</v>
      </c>
    </row>
    <row r="187" spans="2:36" s="11" customFormat="1" ht="16">
      <c r="B187" s="230"/>
      <c r="C187" s="230"/>
      <c r="D187" s="230"/>
      <c r="E187" s="230"/>
      <c r="F187" s="245"/>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row>
    <row r="188" spans="2:36" s="11" customFormat="1" ht="16">
      <c r="B188" s="312" t="s">
        <v>211</v>
      </c>
      <c r="C188" s="312"/>
      <c r="D188" s="312"/>
      <c r="E188" s="230"/>
      <c r="F188" s="245"/>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row>
    <row r="189" spans="2:36" s="11" customFormat="1" ht="16">
      <c r="B189" s="230" t="str">
        <f>B67</f>
        <v>State Income Taxes Saved / (Paid), before ITC/PTC</v>
      </c>
      <c r="C189" s="230"/>
      <c r="D189" s="230"/>
      <c r="E189" s="230"/>
      <c r="F189" s="245"/>
      <c r="G189" s="250" t="str">
        <f>IF(Inputs!$Q$108="as generated","N/A",'Cash Flow'!G67)</f>
        <v>N/A</v>
      </c>
      <c r="H189" s="250" t="str">
        <f>IF(Inputs!$Q$108="as generated","N/A",'Cash Flow'!H67)</f>
        <v>N/A</v>
      </c>
      <c r="I189" s="250" t="str">
        <f>IF(Inputs!$Q$108="as generated","N/A",'Cash Flow'!I67)</f>
        <v>N/A</v>
      </c>
      <c r="J189" s="250" t="str">
        <f>IF(Inputs!$Q$108="as generated","N/A",'Cash Flow'!J67)</f>
        <v>N/A</v>
      </c>
      <c r="K189" s="250" t="str">
        <f>IF(Inputs!$Q$108="as generated","N/A",'Cash Flow'!K67)</f>
        <v>N/A</v>
      </c>
      <c r="L189" s="250" t="str">
        <f>IF(Inputs!$Q$108="as generated","N/A",'Cash Flow'!L67)</f>
        <v>N/A</v>
      </c>
      <c r="M189" s="250" t="str">
        <f>IF(Inputs!$Q$108="as generated","N/A",'Cash Flow'!M67)</f>
        <v>N/A</v>
      </c>
      <c r="N189" s="250" t="str">
        <f>IF(Inputs!$Q$108="as generated","N/A",'Cash Flow'!N67)</f>
        <v>N/A</v>
      </c>
      <c r="O189" s="250" t="str">
        <f>IF(Inputs!$Q$108="as generated","N/A",'Cash Flow'!O67)</f>
        <v>N/A</v>
      </c>
      <c r="P189" s="250" t="str">
        <f>IF(Inputs!$Q$108="as generated","N/A",'Cash Flow'!P67)</f>
        <v>N/A</v>
      </c>
      <c r="Q189" s="250" t="str">
        <f>IF(Inputs!$Q$108="as generated","N/A",'Cash Flow'!Q67)</f>
        <v>N/A</v>
      </c>
      <c r="R189" s="250" t="str">
        <f>IF(Inputs!$Q$108="as generated","N/A",'Cash Flow'!R67)</f>
        <v>N/A</v>
      </c>
      <c r="S189" s="250" t="str">
        <f>IF(Inputs!$Q$108="as generated","N/A",'Cash Flow'!S67)</f>
        <v>N/A</v>
      </c>
      <c r="T189" s="250" t="str">
        <f>IF(Inputs!$Q$108="as generated","N/A",'Cash Flow'!T67)</f>
        <v>N/A</v>
      </c>
      <c r="U189" s="250" t="str">
        <f>IF(Inputs!$Q$108="as generated","N/A",'Cash Flow'!U67)</f>
        <v>N/A</v>
      </c>
      <c r="V189" s="250" t="str">
        <f>IF(Inputs!$Q$108="as generated","N/A",'Cash Flow'!V67)</f>
        <v>N/A</v>
      </c>
      <c r="W189" s="250" t="str">
        <f>IF(Inputs!$Q$108="as generated","N/A",'Cash Flow'!W67)</f>
        <v>N/A</v>
      </c>
      <c r="X189" s="250" t="str">
        <f>IF(Inputs!$Q$108="as generated","N/A",'Cash Flow'!X67)</f>
        <v>N/A</v>
      </c>
      <c r="Y189" s="250" t="str">
        <f>IF(Inputs!$Q$108="as generated","N/A",'Cash Flow'!Y67)</f>
        <v>N/A</v>
      </c>
      <c r="Z189" s="250" t="str">
        <f>IF(Inputs!$Q$108="as generated","N/A",'Cash Flow'!Z67)</f>
        <v>N/A</v>
      </c>
      <c r="AA189" s="250" t="str">
        <f>IF(Inputs!$Q$108="as generated","N/A",'Cash Flow'!AA67)</f>
        <v>N/A</v>
      </c>
      <c r="AB189" s="250" t="str">
        <f>IF(Inputs!$Q$108="as generated","N/A",'Cash Flow'!AB67)</f>
        <v>N/A</v>
      </c>
      <c r="AC189" s="250" t="str">
        <f>IF(Inputs!$Q$108="as generated","N/A",'Cash Flow'!AC67)</f>
        <v>N/A</v>
      </c>
      <c r="AD189" s="250" t="str">
        <f>IF(Inputs!$Q$108="as generated","N/A",'Cash Flow'!AD67)</f>
        <v>N/A</v>
      </c>
      <c r="AE189" s="250" t="str">
        <f>IF(Inputs!$Q$108="as generated","N/A",'Cash Flow'!AE67)</f>
        <v>N/A</v>
      </c>
      <c r="AF189" s="250" t="str">
        <f>IF(Inputs!$Q$108="as generated","N/A",'Cash Flow'!AF67)</f>
        <v>N/A</v>
      </c>
      <c r="AG189" s="250" t="str">
        <f>IF(Inputs!$Q$108="as generated","N/A",'Cash Flow'!AG67)</f>
        <v>N/A</v>
      </c>
      <c r="AH189" s="250" t="str">
        <f>IF(Inputs!$Q$108="as generated","N/A",'Cash Flow'!AH67)</f>
        <v>N/A</v>
      </c>
      <c r="AI189" s="250" t="str">
        <f>IF(Inputs!$Q$108="as generated","N/A",'Cash Flow'!AI67)</f>
        <v>N/A</v>
      </c>
      <c r="AJ189" s="250" t="str">
        <f>IF(Inputs!$Q$108="as generated","N/A",'Cash Flow'!AJ67)</f>
        <v>N/A</v>
      </c>
    </row>
    <row r="190" spans="2:36" s="11" customFormat="1" ht="16">
      <c r="B190" s="230"/>
      <c r="C190" s="230"/>
      <c r="D190" s="230"/>
      <c r="E190" s="230"/>
      <c r="F190" s="245"/>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c r="AD190" s="250"/>
      <c r="AE190" s="250"/>
      <c r="AF190" s="250"/>
      <c r="AG190" s="250"/>
      <c r="AH190" s="250"/>
      <c r="AI190" s="250"/>
      <c r="AJ190" s="250"/>
    </row>
    <row r="191" spans="2:36" s="11" customFormat="1" ht="16">
      <c r="B191" s="230" t="s">
        <v>248</v>
      </c>
      <c r="C191" s="230"/>
      <c r="D191" s="230"/>
      <c r="E191" s="230"/>
      <c r="F191" s="245"/>
      <c r="G191" s="250">
        <v>0</v>
      </c>
      <c r="H191" s="250">
        <f>IF(Inputs!$Q$108="as generated",0,G194)</f>
        <v>0</v>
      </c>
      <c r="I191" s="250">
        <f>IF(Inputs!$Q$108="as generated",0,H194)</f>
        <v>0</v>
      </c>
      <c r="J191" s="250">
        <f>IF(Inputs!$Q$108="as generated",0,I194)</f>
        <v>0</v>
      </c>
      <c r="K191" s="250">
        <f>IF(Inputs!$Q$108="as generated",0,J194)</f>
        <v>0</v>
      </c>
      <c r="L191" s="250">
        <f>IF(Inputs!$Q$108="as generated",0,K194)</f>
        <v>0</v>
      </c>
      <c r="M191" s="250">
        <f>IF(Inputs!$Q$108="as generated",0,L194)</f>
        <v>0</v>
      </c>
      <c r="N191" s="250">
        <f>IF(Inputs!$Q$108="as generated",0,M194)</f>
        <v>0</v>
      </c>
      <c r="O191" s="250">
        <f>IF(Inputs!$Q$108="as generated",0,N194)</f>
        <v>0</v>
      </c>
      <c r="P191" s="250">
        <f>IF(Inputs!$Q$108="as generated",0,O194)</f>
        <v>0</v>
      </c>
      <c r="Q191" s="250">
        <f>IF(Inputs!$Q$108="as generated",0,P194)</f>
        <v>0</v>
      </c>
      <c r="R191" s="250">
        <f>IF(Inputs!$Q$108="as generated",0,Q194)</f>
        <v>0</v>
      </c>
      <c r="S191" s="250">
        <f>IF(Inputs!$Q$108="as generated",0,R194)</f>
        <v>0</v>
      </c>
      <c r="T191" s="250">
        <f>IF(Inputs!$Q$108="as generated",0,S194)</f>
        <v>0</v>
      </c>
      <c r="U191" s="250">
        <f>IF(Inputs!$Q$108="as generated",0,T194)</f>
        <v>0</v>
      </c>
      <c r="V191" s="250">
        <f>IF(Inputs!$Q$108="as generated",0,U194)</f>
        <v>0</v>
      </c>
      <c r="W191" s="250">
        <f>IF(Inputs!$Q$108="as generated",0,V194)</f>
        <v>0</v>
      </c>
      <c r="X191" s="250">
        <f>IF(Inputs!$Q$108="as generated",0,W194)</f>
        <v>0</v>
      </c>
      <c r="Y191" s="250">
        <f>IF(Inputs!$Q$108="as generated",0,X194)</f>
        <v>0</v>
      </c>
      <c r="Z191" s="250">
        <f>IF(Inputs!$Q$108="as generated",0,Y194)</f>
        <v>0</v>
      </c>
      <c r="AA191" s="250">
        <f>IF(Inputs!$Q$108="as generated",0,Z194)</f>
        <v>0</v>
      </c>
      <c r="AB191" s="250">
        <f>IF(Inputs!$Q$108="as generated",0,AA194)</f>
        <v>0</v>
      </c>
      <c r="AC191" s="250">
        <f>IF(Inputs!$Q$108="as generated",0,AB194)</f>
        <v>0</v>
      </c>
      <c r="AD191" s="250">
        <f>IF(Inputs!$Q$108="as generated",0,AC194)</f>
        <v>0</v>
      </c>
      <c r="AE191" s="250">
        <f>IF(Inputs!$Q$108="as generated",0,AD194)</f>
        <v>0</v>
      </c>
      <c r="AF191" s="250">
        <f>IF(Inputs!$Q$108="as generated",0,AE194)</f>
        <v>0</v>
      </c>
      <c r="AG191" s="250">
        <f>IF(Inputs!$Q$108="as generated",0,AF194)</f>
        <v>0</v>
      </c>
      <c r="AH191" s="250">
        <f>IF(Inputs!$Q$108="as generated",0,AG194)</f>
        <v>0</v>
      </c>
      <c r="AI191" s="250">
        <f>IF(Inputs!$Q$108="as generated",0,AH194)</f>
        <v>0</v>
      </c>
      <c r="AJ191" s="250">
        <f>IF(Inputs!$Q$108="as generated",0,AI194)</f>
        <v>0</v>
      </c>
    </row>
    <row r="192" spans="2:36" s="11" customFormat="1" ht="16">
      <c r="B192" s="230" t="s">
        <v>249</v>
      </c>
      <c r="C192" s="230"/>
      <c r="D192" s="230"/>
      <c r="E192" s="230"/>
      <c r="F192" s="245"/>
      <c r="G192" s="250">
        <f>IF(Inputs!$Q$108="as generated",0,IF(G189&lt;=0,G186,0))</f>
        <v>0</v>
      </c>
      <c r="H192" s="250">
        <f>IF(Inputs!$Q$108="as generated",0,IF(H189&lt;=0,H186,0))</f>
        <v>0</v>
      </c>
      <c r="I192" s="250">
        <f>IF(Inputs!$Q$108="as generated",0,IF(I189&lt;=0,I186,0))</f>
        <v>0</v>
      </c>
      <c r="J192" s="250">
        <f>IF(Inputs!$Q$108="as generated",0,IF(J189&lt;=0,J186,0))</f>
        <v>0</v>
      </c>
      <c r="K192" s="250">
        <f>IF(Inputs!$Q$108="as generated",0,IF(K189&lt;=0,K186,0))</f>
        <v>0</v>
      </c>
      <c r="L192" s="250">
        <f>IF(Inputs!$Q$108="as generated",0,IF(L189&lt;=0,L186,0))</f>
        <v>0</v>
      </c>
      <c r="M192" s="250">
        <f>IF(Inputs!$Q$108="as generated",0,IF(M189&lt;=0,M186,0))</f>
        <v>0</v>
      </c>
      <c r="N192" s="250">
        <f>IF(Inputs!$Q$108="as generated",0,IF(N189&lt;=0,N186,0))</f>
        <v>0</v>
      </c>
      <c r="O192" s="250">
        <f>IF(Inputs!$Q$108="as generated",0,IF(O189&lt;=0,O186,0))</f>
        <v>0</v>
      </c>
      <c r="P192" s="250">
        <f>IF(Inputs!$Q$108="as generated",0,IF(P189&lt;=0,P186,0))</f>
        <v>0</v>
      </c>
      <c r="Q192" s="250">
        <f>IF(Inputs!$Q$108="as generated",0,IF(Q189&lt;=0,Q186,0))</f>
        <v>0</v>
      </c>
      <c r="R192" s="250">
        <f>IF(Inputs!$Q$108="as generated",0,IF(R189&lt;=0,R186,0))</f>
        <v>0</v>
      </c>
      <c r="S192" s="250">
        <f>IF(Inputs!$Q$108="as generated",0,IF(S189&lt;=0,S186,0))</f>
        <v>0</v>
      </c>
      <c r="T192" s="250">
        <f>IF(Inputs!$Q$108="as generated",0,IF(T189&lt;=0,T186,0))</f>
        <v>0</v>
      </c>
      <c r="U192" s="250">
        <f>IF(Inputs!$Q$108="as generated",0,IF(U189&lt;=0,U186,0))</f>
        <v>0</v>
      </c>
      <c r="V192" s="250">
        <f>IF(Inputs!$Q$108="as generated",0,IF(V189&lt;=0,V186,0))</f>
        <v>0</v>
      </c>
      <c r="W192" s="250">
        <f>IF(Inputs!$Q$108="as generated",0,IF(W189&lt;=0,W186,0))</f>
        <v>0</v>
      </c>
      <c r="X192" s="250">
        <f>IF(Inputs!$Q$108="as generated",0,IF(X189&lt;=0,X186,0))</f>
        <v>0</v>
      </c>
      <c r="Y192" s="250">
        <f>IF(Inputs!$Q$108="as generated",0,IF(Y189&lt;=0,Y186,0))</f>
        <v>0</v>
      </c>
      <c r="Z192" s="250">
        <f>IF(Inputs!$Q$108="as generated",0,IF(Z189&lt;=0,Z186,0))</f>
        <v>0</v>
      </c>
      <c r="AA192" s="250">
        <f>IF(Inputs!$Q$108="as generated",0,IF(AA189&lt;=0,AA186,0))</f>
        <v>0</v>
      </c>
      <c r="AB192" s="250">
        <f>IF(Inputs!$Q$108="as generated",0,IF(AB189&lt;=0,AB186,0))</f>
        <v>0</v>
      </c>
      <c r="AC192" s="250">
        <f>IF(Inputs!$Q$108="as generated",0,IF(AC189&lt;=0,AC186,0))</f>
        <v>0</v>
      </c>
      <c r="AD192" s="250">
        <f>IF(Inputs!$Q$108="as generated",0,IF(AD189&lt;=0,AD186,0))</f>
        <v>0</v>
      </c>
      <c r="AE192" s="250">
        <f>IF(Inputs!$Q$108="as generated",0,IF(AE189&lt;=0,AE186,0))</f>
        <v>0</v>
      </c>
      <c r="AF192" s="250">
        <f>IF(Inputs!$Q$108="as generated",0,IF(AF189&lt;=0,AF186,0))</f>
        <v>0</v>
      </c>
      <c r="AG192" s="250">
        <f>IF(Inputs!$Q$108="as generated",0,IF(AG189&lt;=0,AG186,0))</f>
        <v>0</v>
      </c>
      <c r="AH192" s="250">
        <f>IF(Inputs!$Q$108="as generated",0,IF(AH189&lt;=0,AH186,0))</f>
        <v>0</v>
      </c>
      <c r="AI192" s="250">
        <f>IF(Inputs!$Q$108="as generated",0,IF(AI189&lt;=0,AI186,0))</f>
        <v>0</v>
      </c>
      <c r="AJ192" s="250">
        <f>IF(Inputs!$Q$108="as generated",0,IF(AJ189&lt;=0,AJ186,0))</f>
        <v>0</v>
      </c>
    </row>
    <row r="193" spans="2:36" s="11" customFormat="1" ht="16">
      <c r="B193" s="230" t="s">
        <v>250</v>
      </c>
      <c r="C193" s="230"/>
      <c r="D193" s="230"/>
      <c r="E193" s="230"/>
      <c r="F193" s="245"/>
      <c r="G193" s="250">
        <f>IF(Inputs!$Q$108="as generated",0,IF(G$189&lt;0,MAX(G$189,-F$194),0))</f>
        <v>0</v>
      </c>
      <c r="H193" s="250">
        <f>IF(Inputs!$Q$108="as generated",0,IF(H$189&lt;0,MAX(H$189,-G$194),0))</f>
        <v>0</v>
      </c>
      <c r="I193" s="250">
        <f>IF(Inputs!$Q$108="as generated",0,IF(I$189&lt;0,MAX(I$189,-H$194),0))</f>
        <v>0</v>
      </c>
      <c r="J193" s="250">
        <f>IF(Inputs!$Q$108="as generated",0,IF(J$189&lt;0,MAX(J$189,-I$194),0))</f>
        <v>0</v>
      </c>
      <c r="K193" s="250">
        <f>IF(Inputs!$Q$108="as generated",0,IF(K$189&lt;0,MAX(K$189,-J$194),0))</f>
        <v>0</v>
      </c>
      <c r="L193" s="250">
        <f>IF(Inputs!$Q$108="as generated",0,IF(L$189&lt;0,MAX(L$189,-K$194),0))</f>
        <v>0</v>
      </c>
      <c r="M193" s="250">
        <f>IF(Inputs!$Q$108="as generated",0,IF(M$189&lt;0,MAX(M$189,-L$194),0))</f>
        <v>0</v>
      </c>
      <c r="N193" s="250">
        <f>IF(Inputs!$Q$108="as generated",0,IF(N$189&lt;0,MAX(N$189,-M$194),0))</f>
        <v>0</v>
      </c>
      <c r="O193" s="250">
        <f>IF(Inputs!$Q$108="as generated",0,IF(O$189&lt;0,MAX(O$189,-N$194),0))</f>
        <v>0</v>
      </c>
      <c r="P193" s="250">
        <f>IF(Inputs!$Q$108="as generated",0,IF(P$189&lt;0,MAX(P$189,-O$194),0))</f>
        <v>0</v>
      </c>
      <c r="Q193" s="250">
        <f>IF(Inputs!$Q$108="as generated",0,IF(Q$189&lt;0,MAX(Q$189,-P$194),0))</f>
        <v>0</v>
      </c>
      <c r="R193" s="250">
        <f>IF(Inputs!$Q$108="as generated",0,IF(R$189&lt;0,MAX(R$189,-Q$194),0))</f>
        <v>0</v>
      </c>
      <c r="S193" s="250">
        <f>IF(Inputs!$Q$108="as generated",0,IF(S$189&lt;0,MAX(S$189,-R$194),0))</f>
        <v>0</v>
      </c>
      <c r="T193" s="250">
        <f>IF(Inputs!$Q$108="as generated",0,IF(T$189&lt;0,MAX(T$189,-S$194),0))</f>
        <v>0</v>
      </c>
      <c r="U193" s="250">
        <f>IF(Inputs!$Q$108="as generated",0,IF(U$189&lt;0,MAX(U$189,-T$194),0))</f>
        <v>0</v>
      </c>
      <c r="V193" s="250">
        <f>IF(Inputs!$Q$108="as generated",0,IF(V$189&lt;0,MAX(V$189,-U$194),0))</f>
        <v>0</v>
      </c>
      <c r="W193" s="250">
        <f>IF(Inputs!$Q$108="as generated",0,IF(W$189&lt;0,MAX(W$189,-V$194),0))</f>
        <v>0</v>
      </c>
      <c r="X193" s="250">
        <f>IF(Inputs!$Q$108="as generated",0,IF(X$189&lt;0,MAX(X$189,-W$194),0))</f>
        <v>0</v>
      </c>
      <c r="Y193" s="250">
        <f>IF(Inputs!$Q$108="as generated",0,IF(Y$189&lt;0,MAX(Y$189,-X$194),0))</f>
        <v>0</v>
      </c>
      <c r="Z193" s="250">
        <f>IF(Inputs!$Q$108="as generated",0,IF(Z$189&lt;0,MAX(Z$189,-Y$194),0))</f>
        <v>0</v>
      </c>
      <c r="AA193" s="250">
        <f>IF(Inputs!$Q$108="as generated",0,IF(AA$189&lt;0,MAX(AA$189,-Z$194),0))</f>
        <v>0</v>
      </c>
      <c r="AB193" s="250">
        <f>IF(Inputs!$Q$108="as generated",0,IF(AB$189&lt;0,MAX(AB$189,-AA$194),0))</f>
        <v>0</v>
      </c>
      <c r="AC193" s="250">
        <f>IF(Inputs!$Q$108="as generated",0,IF(AC$189&lt;0,MAX(AC$189,-AB$194),0))</f>
        <v>0</v>
      </c>
      <c r="AD193" s="250">
        <f>IF(Inputs!$Q$108="as generated",0,IF(AD$189&lt;0,MAX(AD$189,-AC$194),0))</f>
        <v>0</v>
      </c>
      <c r="AE193" s="250">
        <f>IF(Inputs!$Q$108="as generated",0,IF(AE$189&lt;0,MAX(AE$189,-AD$194),0))</f>
        <v>0</v>
      </c>
      <c r="AF193" s="250">
        <f>IF(Inputs!$Q$108="as generated",0,IF(AF$189&lt;0,MAX(AF$189,-AE$194),0))</f>
        <v>0</v>
      </c>
      <c r="AG193" s="250">
        <f>IF(Inputs!$Q$108="as generated",0,IF(AG$189&lt;0,MAX(AG$189,-AF$194),0))</f>
        <v>0</v>
      </c>
      <c r="AH193" s="250">
        <f>IF(Inputs!$Q$108="as generated",0,IF(AH$189&lt;0,MAX(AH$189,-AG$194),0))</f>
        <v>0</v>
      </c>
      <c r="AI193" s="250">
        <f>IF(Inputs!$Q$108="as generated",0,IF(AI$189&lt;0,MAX(AI$189,-AH$194),0))</f>
        <v>0</v>
      </c>
      <c r="AJ193" s="250">
        <f>IF(Inputs!$Q$108="as generated",0,IF(AJ$189&lt;0,MAX(AJ$189,-AI$194),0))</f>
        <v>0</v>
      </c>
    </row>
    <row r="194" spans="2:36" s="11" customFormat="1" ht="16">
      <c r="B194" s="230" t="s">
        <v>251</v>
      </c>
      <c r="C194" s="230"/>
      <c r="D194" s="230"/>
      <c r="E194" s="230"/>
      <c r="F194" s="250">
        <v>0</v>
      </c>
      <c r="G194" s="250">
        <f>SUM(G191:G193)</f>
        <v>0</v>
      </c>
      <c r="H194" s="250">
        <f t="shared" ref="H194:AJ194" si="109">SUM(H191:H193)</f>
        <v>0</v>
      </c>
      <c r="I194" s="250">
        <f t="shared" si="109"/>
        <v>0</v>
      </c>
      <c r="J194" s="250">
        <f t="shared" si="109"/>
        <v>0</v>
      </c>
      <c r="K194" s="250">
        <f t="shared" si="109"/>
        <v>0</v>
      </c>
      <c r="L194" s="250">
        <f t="shared" si="109"/>
        <v>0</v>
      </c>
      <c r="M194" s="250">
        <f t="shared" si="109"/>
        <v>0</v>
      </c>
      <c r="N194" s="250">
        <f t="shared" si="109"/>
        <v>0</v>
      </c>
      <c r="O194" s="250">
        <f t="shared" si="109"/>
        <v>0</v>
      </c>
      <c r="P194" s="250">
        <f t="shared" si="109"/>
        <v>0</v>
      </c>
      <c r="Q194" s="250">
        <f t="shared" si="109"/>
        <v>0</v>
      </c>
      <c r="R194" s="250">
        <f t="shared" si="109"/>
        <v>0</v>
      </c>
      <c r="S194" s="250">
        <f t="shared" si="109"/>
        <v>0</v>
      </c>
      <c r="T194" s="250">
        <f t="shared" si="109"/>
        <v>0</v>
      </c>
      <c r="U194" s="250">
        <f t="shared" si="109"/>
        <v>0</v>
      </c>
      <c r="V194" s="250">
        <f t="shared" si="109"/>
        <v>0</v>
      </c>
      <c r="W194" s="250">
        <f t="shared" si="109"/>
        <v>0</v>
      </c>
      <c r="X194" s="250">
        <f t="shared" si="109"/>
        <v>0</v>
      </c>
      <c r="Y194" s="250">
        <f t="shared" si="109"/>
        <v>0</v>
      </c>
      <c r="Z194" s="250">
        <f t="shared" si="109"/>
        <v>0</v>
      </c>
      <c r="AA194" s="250">
        <f t="shared" si="109"/>
        <v>0</v>
      </c>
      <c r="AB194" s="250">
        <f t="shared" si="109"/>
        <v>0</v>
      </c>
      <c r="AC194" s="250">
        <f t="shared" si="109"/>
        <v>0</v>
      </c>
      <c r="AD194" s="250">
        <f t="shared" si="109"/>
        <v>0</v>
      </c>
      <c r="AE194" s="250">
        <f t="shared" si="109"/>
        <v>0</v>
      </c>
      <c r="AF194" s="250">
        <f t="shared" si="109"/>
        <v>0</v>
      </c>
      <c r="AG194" s="250">
        <f t="shared" si="109"/>
        <v>0</v>
      </c>
      <c r="AH194" s="250">
        <f t="shared" si="109"/>
        <v>0</v>
      </c>
      <c r="AI194" s="250">
        <f t="shared" si="109"/>
        <v>0</v>
      </c>
      <c r="AJ194" s="250">
        <f t="shared" si="109"/>
        <v>0</v>
      </c>
    </row>
    <row r="195" spans="2:36" s="11" customFormat="1" ht="17" thickBot="1">
      <c r="B195" s="252"/>
      <c r="C195" s="252"/>
      <c r="D195" s="252"/>
      <c r="E195" s="252"/>
      <c r="F195" s="252"/>
      <c r="G195" s="253"/>
      <c r="H195" s="254"/>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row>
    <row r="196" spans="2:36">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row>
    <row r="197" spans="2:36" ht="16">
      <c r="B197" s="229" t="s">
        <v>129</v>
      </c>
      <c r="C197" s="229"/>
      <c r="D197" s="229"/>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row>
    <row r="198" spans="2:36" ht="16">
      <c r="B198" s="249" t="s">
        <v>80</v>
      </c>
      <c r="C198" s="249"/>
      <c r="D198" s="249"/>
      <c r="E198" s="274"/>
      <c r="F198" s="291">
        <v>0</v>
      </c>
      <c r="G198" s="267">
        <f>F203</f>
        <v>6113859.20777852</v>
      </c>
      <c r="H198" s="267">
        <f t="shared" ref="H198:AJ198" si="110">G203</f>
        <v>6113859.20777852</v>
      </c>
      <c r="I198" s="267">
        <f t="shared" si="110"/>
        <v>6113859.20777852</v>
      </c>
      <c r="J198" s="267">
        <f t="shared" si="110"/>
        <v>6113859.20777852</v>
      </c>
      <c r="K198" s="267">
        <f t="shared" si="110"/>
        <v>6113859.20777852</v>
      </c>
      <c r="L198" s="267">
        <f t="shared" si="110"/>
        <v>6113859.20777852</v>
      </c>
      <c r="M198" s="267">
        <f t="shared" si="110"/>
        <v>6113859.20777852</v>
      </c>
      <c r="N198" s="267">
        <f t="shared" si="110"/>
        <v>6113859.20777852</v>
      </c>
      <c r="O198" s="267">
        <f t="shared" si="110"/>
        <v>6113859.20777852</v>
      </c>
      <c r="P198" s="267">
        <f t="shared" si="110"/>
        <v>6113859.20777852</v>
      </c>
      <c r="Q198" s="267">
        <f t="shared" si="110"/>
        <v>6113859.20777852</v>
      </c>
      <c r="R198" s="267">
        <f t="shared" si="110"/>
        <v>6113859.20777852</v>
      </c>
      <c r="S198" s="267">
        <f t="shared" si="110"/>
        <v>6113859.20777852</v>
      </c>
      <c r="T198" s="267">
        <f t="shared" si="110"/>
        <v>6113859.20777852</v>
      </c>
      <c r="U198" s="267">
        <f t="shared" si="110"/>
        <v>6113859.20777852</v>
      </c>
      <c r="V198" s="267">
        <f t="shared" si="110"/>
        <v>6113859.20777852</v>
      </c>
      <c r="W198" s="267">
        <f t="shared" si="110"/>
        <v>2571274.0620270707</v>
      </c>
      <c r="X198" s="267">
        <f t="shared" si="110"/>
        <v>2571274.0620270707</v>
      </c>
      <c r="Y198" s="267">
        <f t="shared" si="110"/>
        <v>2571274.0620270707</v>
      </c>
      <c r="Z198" s="267">
        <f t="shared" si="110"/>
        <v>2571274.0620270707</v>
      </c>
      <c r="AA198" s="267">
        <f t="shared" si="110"/>
        <v>2571274.0620270707</v>
      </c>
      <c r="AB198" s="267">
        <f t="shared" si="110"/>
        <v>2571274.0620270707</v>
      </c>
      <c r="AC198" s="267">
        <f t="shared" si="110"/>
        <v>2571274.0620270707</v>
      </c>
      <c r="AD198" s="267">
        <f t="shared" si="110"/>
        <v>2571274.0620270707</v>
      </c>
      <c r="AE198" s="267">
        <f t="shared" si="110"/>
        <v>2571274.0620270707</v>
      </c>
      <c r="AF198" s="267">
        <f t="shared" si="110"/>
        <v>0</v>
      </c>
      <c r="AG198" s="267">
        <f t="shared" si="110"/>
        <v>0</v>
      </c>
      <c r="AH198" s="267">
        <f t="shared" si="110"/>
        <v>0</v>
      </c>
      <c r="AI198" s="267">
        <f t="shared" si="110"/>
        <v>0</v>
      </c>
      <c r="AJ198" s="267">
        <f t="shared" si="110"/>
        <v>0</v>
      </c>
    </row>
    <row r="199" spans="2:36" ht="16">
      <c r="B199" s="249" t="s">
        <v>35</v>
      </c>
      <c r="C199" s="249"/>
      <c r="D199" s="249"/>
      <c r="E199" s="274"/>
      <c r="F199" s="267">
        <f>Inputs!$G$97</f>
        <v>3542585.1457514493</v>
      </c>
      <c r="G199" s="267">
        <f>IF(G$2=Inputs!$G$80+1,-$F$199,0)</f>
        <v>0</v>
      </c>
      <c r="H199" s="267">
        <f>IF(H$2=Inputs!$G$80+1,-$F$199,0)</f>
        <v>0</v>
      </c>
      <c r="I199" s="267">
        <f>IF(I$2=Inputs!$G$80+1,-$F$199,0)</f>
        <v>0</v>
      </c>
      <c r="J199" s="267">
        <f>IF(J$2=Inputs!$G$80+1,-$F$199,0)</f>
        <v>0</v>
      </c>
      <c r="K199" s="267">
        <f>IF(K$2=Inputs!$G$80+1,-$F$199,0)</f>
        <v>0</v>
      </c>
      <c r="L199" s="267">
        <f>IF(L$2=Inputs!$G$80+1,-$F$199,0)</f>
        <v>0</v>
      </c>
      <c r="M199" s="267">
        <f>IF(M$2=Inputs!$G$80+1,-$F$199,0)</f>
        <v>0</v>
      </c>
      <c r="N199" s="267">
        <f>IF(N$2=Inputs!$G$80+1,-$F$199,0)</f>
        <v>0</v>
      </c>
      <c r="O199" s="267">
        <f>IF(O$2=Inputs!$G$80+1,-$F$199,0)</f>
        <v>0</v>
      </c>
      <c r="P199" s="267">
        <f>IF(P$2=Inputs!$G$80+1,-$F$199,0)</f>
        <v>0</v>
      </c>
      <c r="Q199" s="267">
        <f>IF(Q$2=Inputs!$G$80+1,-$F$199,0)</f>
        <v>0</v>
      </c>
      <c r="R199" s="267">
        <f>IF(R$2=Inputs!$G$80+1,-$F$199,0)</f>
        <v>0</v>
      </c>
      <c r="S199" s="267">
        <f>IF(S$2=Inputs!$G$80+1,-$F$199,0)</f>
        <v>0</v>
      </c>
      <c r="T199" s="267">
        <f>IF(T$2=Inputs!$G$80+1,-$F$199,0)</f>
        <v>0</v>
      </c>
      <c r="U199" s="267">
        <f>IF(U$2=Inputs!$G$80+1,-$F$199,0)</f>
        <v>0</v>
      </c>
      <c r="V199" s="267">
        <f>IF(V$2=Inputs!$G$80+1,-$F$199,0)</f>
        <v>-3542585.1457514493</v>
      </c>
      <c r="W199" s="267">
        <f>IF(W$2=Inputs!$G$80+1,-$F$199,0)</f>
        <v>0</v>
      </c>
      <c r="X199" s="267">
        <f>IF(X$2=Inputs!$G$80+1,-$F$199,0)</f>
        <v>0</v>
      </c>
      <c r="Y199" s="267">
        <f>IF(Y$2=Inputs!$G$80+1,-$F$199,0)</f>
        <v>0</v>
      </c>
      <c r="Z199" s="267">
        <f>IF(Z$2=Inputs!$G$80+1,-$F$199,0)</f>
        <v>0</v>
      </c>
      <c r="AA199" s="267">
        <f>IF(AA$2=Inputs!$G$80+1,-$F$199,0)</f>
        <v>0</v>
      </c>
      <c r="AB199" s="267">
        <f>IF(AB$2=Inputs!$G$80+1,-$F$199,0)</f>
        <v>0</v>
      </c>
      <c r="AC199" s="267">
        <f>IF(AC$2=Inputs!$G$80+1,-$F$199,0)</f>
        <v>0</v>
      </c>
      <c r="AD199" s="267">
        <f>IF(AD$2=Inputs!$G$80+1,-$F$199,0)</f>
        <v>0</v>
      </c>
      <c r="AE199" s="267">
        <f>IF(AE$2=Inputs!$G$80+1,-$F$199,0)</f>
        <v>0</v>
      </c>
      <c r="AF199" s="267">
        <f>IF(AF$2=Inputs!$G$80+1,-$F$199,0)</f>
        <v>0</v>
      </c>
      <c r="AG199" s="267">
        <f>IF(AG$2=Inputs!$G$80+1,-$F$199,0)</f>
        <v>0</v>
      </c>
      <c r="AH199" s="267">
        <f>IF(AH$2=Inputs!$G$80+1,-$F$199,0)</f>
        <v>0</v>
      </c>
      <c r="AI199" s="267">
        <f>IF(AI$2=Inputs!$G$80+1,-$F$199,0)</f>
        <v>0</v>
      </c>
      <c r="AJ199" s="267">
        <f>IF(AJ$2=Inputs!$G$80+1,-$F$199,0)</f>
        <v>0</v>
      </c>
    </row>
    <row r="200" spans="2:36" ht="16">
      <c r="B200" s="249" t="s">
        <v>156</v>
      </c>
      <c r="C200" s="249"/>
      <c r="D200" s="249"/>
      <c r="E200" s="274"/>
      <c r="F200" s="267">
        <f>Inputs!$G$100</f>
        <v>2571274.0620270707</v>
      </c>
      <c r="G200" s="267">
        <f>IF(G$2=Inputs!$G$17,-$F$200,0)</f>
        <v>0</v>
      </c>
      <c r="H200" s="267">
        <f>IF(H$2=Inputs!$G$17,-$F$200,0)</f>
        <v>0</v>
      </c>
      <c r="I200" s="267">
        <f>IF(I$2=Inputs!$G$17,-$F$200,0)</f>
        <v>0</v>
      </c>
      <c r="J200" s="267">
        <f>IF(J$2=Inputs!$G$17,-$F$200,0)</f>
        <v>0</v>
      </c>
      <c r="K200" s="267">
        <f>IF(K$2=Inputs!$G$17,-$F$200,0)</f>
        <v>0</v>
      </c>
      <c r="L200" s="267">
        <f>IF(L$2=Inputs!$G$17,-$F$200,0)</f>
        <v>0</v>
      </c>
      <c r="M200" s="267">
        <f>IF(M$2=Inputs!$G$17,-$F$200,0)</f>
        <v>0</v>
      </c>
      <c r="N200" s="267">
        <f>IF(N$2=Inputs!$G$17,-$F$200,0)</f>
        <v>0</v>
      </c>
      <c r="O200" s="267">
        <f>IF(O$2=Inputs!$G$17,-$F$200,0)</f>
        <v>0</v>
      </c>
      <c r="P200" s="267">
        <f>IF(P$2=Inputs!$G$17,-$F$200,0)</f>
        <v>0</v>
      </c>
      <c r="Q200" s="267">
        <f>IF(Q$2=Inputs!$G$17,-$F$200,0)</f>
        <v>0</v>
      </c>
      <c r="R200" s="267">
        <f>IF(R$2=Inputs!$G$17,-$F$200,0)</f>
        <v>0</v>
      </c>
      <c r="S200" s="267">
        <f>IF(S$2=Inputs!$G$17,-$F$200,0)</f>
        <v>0</v>
      </c>
      <c r="T200" s="267">
        <f>IF(T$2=Inputs!$G$17,-$F$200,0)</f>
        <v>0</v>
      </c>
      <c r="U200" s="267">
        <f>IF(U$2=Inputs!$G$17,-$F$200,0)</f>
        <v>0</v>
      </c>
      <c r="V200" s="267">
        <f>IF(V$2=Inputs!$G$17,-$F$200,0)</f>
        <v>0</v>
      </c>
      <c r="W200" s="267">
        <f>IF(W$2=Inputs!$G$17,-$F$200,0)</f>
        <v>0</v>
      </c>
      <c r="X200" s="267">
        <f>IF(X$2=Inputs!$G$17,-$F$200,0)</f>
        <v>0</v>
      </c>
      <c r="Y200" s="267">
        <f>IF(Y$2=Inputs!$G$17,-$F$200,0)</f>
        <v>0</v>
      </c>
      <c r="Z200" s="267">
        <f>IF(Z$2=Inputs!$G$17,-$F$200,0)</f>
        <v>0</v>
      </c>
      <c r="AA200" s="267">
        <f>IF(AA$2=Inputs!$G$17,-$F$200,0)</f>
        <v>0</v>
      </c>
      <c r="AB200" s="267">
        <f>IF(AB$2=Inputs!$G$17,-$F$200,0)</f>
        <v>0</v>
      </c>
      <c r="AC200" s="267">
        <f>IF(AC$2=Inputs!$G$17,-$F$200,0)</f>
        <v>0</v>
      </c>
      <c r="AD200" s="267">
        <f>IF(AD$2=Inputs!$G$17,-$F$200,0)</f>
        <v>0</v>
      </c>
      <c r="AE200" s="267">
        <f>IF(AE$2=Inputs!$G$17,-$F$200,0)</f>
        <v>-2571274.0620270707</v>
      </c>
      <c r="AF200" s="267">
        <f>IF(AF$2=Inputs!$G$17,-$F$200,0)</f>
        <v>0</v>
      </c>
      <c r="AG200" s="267">
        <f>IF(AG$2=Inputs!$G$17,-$F$200,0)</f>
        <v>0</v>
      </c>
      <c r="AH200" s="267">
        <f>IF(AH$2=Inputs!$G$17,-$F$200,0)</f>
        <v>0</v>
      </c>
      <c r="AI200" s="267">
        <f>IF(AI$2=Inputs!$G$17,-$F$200,0)</f>
        <v>0</v>
      </c>
      <c r="AJ200" s="267">
        <f>IF(AJ$2=Inputs!$G$17,-$F$200,0)</f>
        <v>0</v>
      </c>
    </row>
    <row r="201" spans="2:36" ht="16">
      <c r="B201" s="249" t="s">
        <v>161</v>
      </c>
      <c r="C201" s="249"/>
      <c r="D201" s="249"/>
      <c r="E201" s="274"/>
      <c r="F201" s="291">
        <v>0</v>
      </c>
      <c r="G201" s="267">
        <f>IF(G$2&lt;Inputs!$Q$40,$E$122/(Inputs!$Q$40-1),IF(G$2=Inputs!$Q$40,-($E$122),IF(AND(G$2&gt;Inputs!$Q$40,G$2&lt;Inputs!$Q$44),($E$125)/(Inputs!$Q$44-Inputs!$Q$40-1),IF(G$2=Inputs!$Q$44,-($E$125),0))))</f>
        <v>0</v>
      </c>
      <c r="H201" s="267">
        <f>IF(H$2&lt;Inputs!$Q$40,$E$122/(Inputs!$Q$40-1),IF(H$2=Inputs!$Q$40,-($E$122),IF(AND(H$2&gt;Inputs!$Q$40,H$2&lt;Inputs!$Q$44),($E$125)/(Inputs!$Q$44-Inputs!$Q$40-1),IF(H$2=Inputs!$Q$44,-($E$125),0))))</f>
        <v>0</v>
      </c>
      <c r="I201" s="267">
        <f>IF(I$2&lt;Inputs!$Q$40,$E$122/(Inputs!$Q$40-1),IF(I$2=Inputs!$Q$40,-($E$122),IF(AND(I$2&gt;Inputs!$Q$40,I$2&lt;Inputs!$Q$44),($E$125)/(Inputs!$Q$44-Inputs!$Q$40-1),IF(I$2=Inputs!$Q$44,-($E$125),0))))</f>
        <v>0</v>
      </c>
      <c r="J201" s="267">
        <f>IF(J$2&lt;Inputs!$Q$40,$E$122/(Inputs!$Q$40-1),IF(J$2=Inputs!$Q$40,-($E$122),IF(AND(J$2&gt;Inputs!$Q$40,J$2&lt;Inputs!$Q$44),($E$125)/(Inputs!$Q$44-Inputs!$Q$40-1),IF(J$2=Inputs!$Q$44,-($E$125),0))))</f>
        <v>0</v>
      </c>
      <c r="K201" s="267">
        <f>IF(K$2&lt;Inputs!$Q$40,$E$122/(Inputs!$Q$40-1),IF(K$2=Inputs!$Q$40,-($E$122),IF(AND(K$2&gt;Inputs!$Q$40,K$2&lt;Inputs!$Q$44),($E$125)/(Inputs!$Q$44-Inputs!$Q$40-1),IF(K$2=Inputs!$Q$44,-($E$125),0))))</f>
        <v>0</v>
      </c>
      <c r="L201" s="267">
        <f>IF(L$2&lt;Inputs!$Q$40,$E$122/(Inputs!$Q$40-1),IF(L$2=Inputs!$Q$40,-($E$122),IF(AND(L$2&gt;Inputs!$Q$40,L$2&lt;Inputs!$Q$44),($E$125)/(Inputs!$Q$44-Inputs!$Q$40-1),IF(L$2=Inputs!$Q$44,-($E$125),0))))</f>
        <v>0</v>
      </c>
      <c r="M201" s="267">
        <f>IF(M$2&lt;Inputs!$Q$40,$E$122/(Inputs!$Q$40-1),IF(M$2=Inputs!$Q$40,-($E$122),IF(AND(M$2&gt;Inputs!$Q$40,M$2&lt;Inputs!$Q$44),($E$125)/(Inputs!$Q$44-Inputs!$Q$40-1),IF(M$2=Inputs!$Q$44,-($E$125),0))))</f>
        <v>0</v>
      </c>
      <c r="N201" s="267">
        <f>IF(N$2&lt;Inputs!$Q$40,$E$122/(Inputs!$Q$40-1),IF(N$2=Inputs!$Q$40,-($E$122),IF(AND(N$2&gt;Inputs!$Q$40,N$2&lt;Inputs!$Q$44),($E$125)/(Inputs!$Q$44-Inputs!$Q$40-1),IF(N$2=Inputs!$Q$44,-($E$125),0))))</f>
        <v>0</v>
      </c>
      <c r="O201" s="267">
        <f>IF(O$2&lt;Inputs!$Q$40,$E$122/(Inputs!$Q$40-1),IF(O$2=Inputs!$Q$40,-($E$122),IF(AND(O$2&gt;Inputs!$Q$40,O$2&lt;Inputs!$Q$44),($E$125)/(Inputs!$Q$44-Inputs!$Q$40-1),IF(O$2=Inputs!$Q$44,-($E$125),0))))</f>
        <v>0</v>
      </c>
      <c r="P201" s="267">
        <f>IF(P$2&lt;Inputs!$Q$40,$E$122/(Inputs!$Q$40-1),IF(P$2=Inputs!$Q$40,-($E$122),IF(AND(P$2&gt;Inputs!$Q$40,P$2&lt;Inputs!$Q$44),($E$125)/(Inputs!$Q$44-Inputs!$Q$40-1),IF(P$2=Inputs!$Q$44,-($E$125),0))))</f>
        <v>0</v>
      </c>
      <c r="Q201" s="267">
        <f>IF(Q$2&lt;Inputs!$Q$40,$E$122/(Inputs!$Q$40-1),IF(Q$2=Inputs!$Q$40,-($E$122),IF(AND(Q$2&gt;Inputs!$Q$40,Q$2&lt;Inputs!$Q$44),($E$125)/(Inputs!$Q$44-Inputs!$Q$40-1),IF(Q$2=Inputs!$Q$44,-($E$125),0))))</f>
        <v>0</v>
      </c>
      <c r="R201" s="267">
        <f>IF(R$2&lt;Inputs!$Q$40,$E$122/(Inputs!$Q$40-1),IF(R$2=Inputs!$Q$40,-($E$122),IF(AND(R$2&gt;Inputs!$Q$40,R$2&lt;Inputs!$Q$44),($E$125)/(Inputs!$Q$44-Inputs!$Q$40-1),IF(R$2=Inputs!$Q$44,-($E$125),0))))</f>
        <v>0</v>
      </c>
      <c r="S201" s="267">
        <f>IF(S$2&lt;Inputs!$Q$40,$E$122/(Inputs!$Q$40-1),IF(S$2=Inputs!$Q$40,-($E$122),IF(AND(S$2&gt;Inputs!$Q$40,S$2&lt;Inputs!$Q$44),($E$125)/(Inputs!$Q$44-Inputs!$Q$40-1),IF(S$2=Inputs!$Q$44,-($E$125),0))))</f>
        <v>0</v>
      </c>
      <c r="T201" s="267">
        <f>IF(T$2&lt;Inputs!$Q$40,$E$122/(Inputs!$Q$40-1),IF(T$2=Inputs!$Q$40,-($E$122),IF(AND(T$2&gt;Inputs!$Q$40,T$2&lt;Inputs!$Q$44),($E$125)/(Inputs!$Q$44-Inputs!$Q$40-1),IF(T$2=Inputs!$Q$44,-($E$125),0))))</f>
        <v>0</v>
      </c>
      <c r="U201" s="267">
        <f>IF(U$2&lt;Inputs!$Q$40,$E$122/(Inputs!$Q$40-1),IF(U$2=Inputs!$Q$40,-($E$122),IF(AND(U$2&gt;Inputs!$Q$40,U$2&lt;Inputs!$Q$44),($E$125)/(Inputs!$Q$44-Inputs!$Q$40-1),IF(U$2=Inputs!$Q$44,-($E$125),0))))</f>
        <v>0</v>
      </c>
      <c r="V201" s="267">
        <f>IF(V$2&lt;Inputs!$Q$40,$E$122/(Inputs!$Q$40-1),IF(V$2=Inputs!$Q$40,-($E$122),IF(AND(V$2&gt;Inputs!$Q$40,V$2&lt;Inputs!$Q$44),($E$125)/(Inputs!$Q$44-Inputs!$Q$40-1),IF(V$2=Inputs!$Q$44,-($E$125),0))))</f>
        <v>0</v>
      </c>
      <c r="W201" s="267">
        <f>IF(W$2&lt;Inputs!$Q$40,$E$122/(Inputs!$Q$40-1),IF(W$2=Inputs!$Q$40,-($E$122),IF(AND(W$2&gt;Inputs!$Q$40,W$2&lt;Inputs!$Q$44),($E$125)/(Inputs!$Q$44-Inputs!$Q$40-1),IF(W$2=Inputs!$Q$44,-($E$125),0))))</f>
        <v>0</v>
      </c>
      <c r="X201" s="267">
        <f>IF(X$2&lt;Inputs!$Q$40,$E$122/(Inputs!$Q$40-1),IF(X$2=Inputs!$Q$40,-($E$122),IF(AND(X$2&gt;Inputs!$Q$40,X$2&lt;Inputs!$Q$44),($E$125)/(Inputs!$Q$44-Inputs!$Q$40-1),IF(X$2=Inputs!$Q$44,-($E$125),0))))</f>
        <v>0</v>
      </c>
      <c r="Y201" s="267">
        <f>IF(Y$2&lt;Inputs!$Q$40,$E$122/(Inputs!$Q$40-1),IF(Y$2=Inputs!$Q$40,-($E$122),IF(AND(Y$2&gt;Inputs!$Q$40,Y$2&lt;Inputs!$Q$44),($E$125)/(Inputs!$Q$44-Inputs!$Q$40-1),IF(Y$2=Inputs!$Q$44,-($E$125),0))))</f>
        <v>0</v>
      </c>
      <c r="Z201" s="267">
        <f>IF(Z$2&lt;Inputs!$Q$40,$E$122/(Inputs!$Q$40-1),IF(Z$2=Inputs!$Q$40,-($E$122),IF(AND(Z$2&gt;Inputs!$Q$40,Z$2&lt;Inputs!$Q$44),($E$125)/(Inputs!$Q$44-Inputs!$Q$40-1),IF(Z$2=Inputs!$Q$44,-($E$125),0))))</f>
        <v>0</v>
      </c>
      <c r="AA201" s="267">
        <f>IF(AA$2&lt;Inputs!$Q$40,$E$122/(Inputs!$Q$40-1),IF(AA$2=Inputs!$Q$40,-($E$122),IF(AND(AA$2&gt;Inputs!$Q$40,AA$2&lt;Inputs!$Q$44),($E$125)/(Inputs!$Q$44-Inputs!$Q$40-1),IF(AA$2=Inputs!$Q$44,-($E$125),0))))</f>
        <v>0</v>
      </c>
      <c r="AB201" s="267">
        <f>IF(AB$2&lt;Inputs!$Q$40,$E$122/(Inputs!$Q$40-1),IF(AB$2=Inputs!$Q$40,-($E$122),IF(AND(AB$2&gt;Inputs!$Q$40,AB$2&lt;Inputs!$Q$44),($E$125)/(Inputs!$Q$44-Inputs!$Q$40-1),IF(AB$2=Inputs!$Q$44,-($E$125),0))))</f>
        <v>0</v>
      </c>
      <c r="AC201" s="267">
        <f>IF(AC$2&lt;Inputs!$Q$40,$E$122/(Inputs!$Q$40-1),IF(AC$2=Inputs!$Q$40,-($E$122),IF(AND(AC$2&gt;Inputs!$Q$40,AC$2&lt;Inputs!$Q$44),($E$125)/(Inputs!$Q$44-Inputs!$Q$40-1),IF(AC$2=Inputs!$Q$44,-($E$125),0))))</f>
        <v>0</v>
      </c>
      <c r="AD201" s="267">
        <f>IF(AD$2&lt;Inputs!$Q$40,$E$122/(Inputs!$Q$40-1),IF(AD$2=Inputs!$Q$40,-($E$122),IF(AND(AD$2&gt;Inputs!$Q$40,AD$2&lt;Inputs!$Q$44),($E$125)/(Inputs!$Q$44-Inputs!$Q$40-1),IF(AD$2=Inputs!$Q$44,-($E$125),0))))</f>
        <v>0</v>
      </c>
      <c r="AE201" s="267">
        <f>IF(AE$2&lt;Inputs!$Q$40,$E$122/(Inputs!$Q$40-1),IF(AE$2=Inputs!$Q$40,-($E$122),IF(AND(AE$2&gt;Inputs!$Q$40,AE$2&lt;Inputs!$Q$44),($E$125)/(Inputs!$Q$44-Inputs!$Q$40-1),IF(AE$2=Inputs!$Q$44,-($E$125),0))))</f>
        <v>0</v>
      </c>
      <c r="AF201" s="267">
        <f>IF(AF$2&lt;Inputs!$Q$40,$E$122/(Inputs!$Q$40-1),IF(AF$2=Inputs!$Q$40,-($E$122),IF(AND(AF$2&gt;Inputs!$Q$40,AF$2&lt;Inputs!$Q$44),($E$125)/(Inputs!$Q$44-Inputs!$Q$40-1),IF(AF$2=Inputs!$Q$44,-($E$125),0))))</f>
        <v>0</v>
      </c>
      <c r="AG201" s="267">
        <f>IF(AG$2&lt;Inputs!$Q$40,$E$122/(Inputs!$Q$40-1),IF(AG$2=Inputs!$Q$40,-($E$122),IF(AND(AG$2&gt;Inputs!$Q$40,AG$2&lt;Inputs!$Q$44),($E$125)/(Inputs!$Q$44-Inputs!$Q$40-1),IF(AG$2=Inputs!$Q$44,-($E$125),0))))</f>
        <v>0</v>
      </c>
      <c r="AH201" s="267">
        <f>IF(AH$2&lt;Inputs!$Q$40,$E$122/(Inputs!$Q$40-1),IF(AH$2=Inputs!$Q$40,-($E$122),IF(AND(AH$2&gt;Inputs!$Q$40,AH$2&lt;Inputs!$Q$44),($E$125)/(Inputs!$Q$44-Inputs!$Q$40-1),IF(AH$2=Inputs!$Q$44,-($E$125),0))))</f>
        <v>0</v>
      </c>
      <c r="AI201" s="267">
        <f>IF(AI$2&lt;Inputs!$Q$40,$E$122/(Inputs!$Q$40-1),IF(AI$2=Inputs!$Q$40,-($E$122),IF(AND(AI$2&gt;Inputs!$Q$40,AI$2&lt;Inputs!$Q$44),($E$125)/(Inputs!$Q$44-Inputs!$Q$40-1),IF(AI$2=Inputs!$Q$44,-($E$125),0))))</f>
        <v>0</v>
      </c>
      <c r="AJ201" s="267">
        <f>IF(AJ$2&lt;Inputs!$Q$40,$E$122/(Inputs!$Q$40-1),IF(AJ$2=Inputs!$Q$40,-($E$122),IF(AND(AJ$2&gt;Inputs!$Q$40,AJ$2&lt;Inputs!$Q$44),($E$125)/(Inputs!$Q$44-Inputs!$Q$40-1),IF(AJ$2=Inputs!$Q$44,-($E$125),0))))</f>
        <v>0</v>
      </c>
    </row>
    <row r="202" spans="2:36" ht="16">
      <c r="B202" s="249" t="s">
        <v>40</v>
      </c>
      <c r="C202" s="249"/>
      <c r="D202" s="249"/>
      <c r="E202" s="274"/>
      <c r="F202" s="291">
        <v>0</v>
      </c>
      <c r="G202" s="267">
        <f>IF(OR(G$2&gt;Inputs!$G$17,Inputs!$Q$51="salvage"),0,Inputs!$Q$52/Inputs!$Q$6)</f>
        <v>0</v>
      </c>
      <c r="H202" s="267">
        <f>IF(OR(H$2&gt;Inputs!$G$17,Inputs!$Q$51="salvage"),0,Inputs!$Q$52/Inputs!$Q$6)</f>
        <v>0</v>
      </c>
      <c r="I202" s="267">
        <f>IF(OR(I$2&gt;Inputs!$G$17,Inputs!$Q$51="salvage"),0,Inputs!$Q$52/Inputs!$Q$6)</f>
        <v>0</v>
      </c>
      <c r="J202" s="267">
        <f>IF(OR(J$2&gt;Inputs!$G$17,Inputs!$Q$51="salvage"),0,Inputs!$Q$52/Inputs!$Q$6)</f>
        <v>0</v>
      </c>
      <c r="K202" s="267">
        <f>IF(OR(K$2&gt;Inputs!$G$17,Inputs!$Q$51="salvage"),0,Inputs!$Q$52/Inputs!$Q$6)</f>
        <v>0</v>
      </c>
      <c r="L202" s="267">
        <f>IF(OR(L$2&gt;Inputs!$G$17,Inputs!$Q$51="salvage"),0,Inputs!$Q$52/Inputs!$Q$6)</f>
        <v>0</v>
      </c>
      <c r="M202" s="267">
        <f>IF(OR(M$2&gt;Inputs!$G$17,Inputs!$Q$51="salvage"),0,Inputs!$Q$52/Inputs!$Q$6)</f>
        <v>0</v>
      </c>
      <c r="N202" s="267">
        <f>IF(OR(N$2&gt;Inputs!$G$17,Inputs!$Q$51="salvage"),0,Inputs!$Q$52/Inputs!$Q$6)</f>
        <v>0</v>
      </c>
      <c r="O202" s="267">
        <f>IF(OR(O$2&gt;Inputs!$G$17,Inputs!$Q$51="salvage"),0,Inputs!$Q$52/Inputs!$Q$6)</f>
        <v>0</v>
      </c>
      <c r="P202" s="267">
        <f>IF(OR(P$2&gt;Inputs!$G$17,Inputs!$Q$51="salvage"),0,Inputs!$Q$52/Inputs!$Q$6)</f>
        <v>0</v>
      </c>
      <c r="Q202" s="267">
        <f>IF(OR(Q$2&gt;Inputs!$G$17,Inputs!$Q$51="salvage"),0,Inputs!$Q$52/Inputs!$Q$6)</f>
        <v>0</v>
      </c>
      <c r="R202" s="267">
        <f>IF(OR(R$2&gt;Inputs!$G$17,Inputs!$Q$51="salvage"),0,Inputs!$Q$52/Inputs!$Q$6)</f>
        <v>0</v>
      </c>
      <c r="S202" s="267">
        <f>IF(OR(S$2&gt;Inputs!$G$17,Inputs!$Q$51="salvage"),0,Inputs!$Q$52/Inputs!$Q$6)</f>
        <v>0</v>
      </c>
      <c r="T202" s="267">
        <f>IF(OR(T$2&gt;Inputs!$G$17,Inputs!$Q$51="salvage"),0,Inputs!$Q$52/Inputs!$Q$6)</f>
        <v>0</v>
      </c>
      <c r="U202" s="267">
        <f>IF(OR(U$2&gt;Inputs!$G$17,Inputs!$Q$51="salvage"),0,Inputs!$Q$52/Inputs!$Q$6)</f>
        <v>0</v>
      </c>
      <c r="V202" s="267">
        <f>IF(OR(V$2&gt;Inputs!$G$17,Inputs!$Q$51="salvage"),0,Inputs!$Q$52/Inputs!$Q$6)</f>
        <v>0</v>
      </c>
      <c r="W202" s="267">
        <f>IF(OR(W$2&gt;Inputs!$G$17,Inputs!$Q$51="salvage"),0,Inputs!$Q$52/Inputs!$Q$6)</f>
        <v>0</v>
      </c>
      <c r="X202" s="267">
        <f>IF(OR(X$2&gt;Inputs!$G$17,Inputs!$Q$51="salvage"),0,Inputs!$Q$52/Inputs!$Q$6)</f>
        <v>0</v>
      </c>
      <c r="Y202" s="267">
        <f>IF(OR(Y$2&gt;Inputs!$G$17,Inputs!$Q$51="salvage"),0,Inputs!$Q$52/Inputs!$Q$6)</f>
        <v>0</v>
      </c>
      <c r="Z202" s="267">
        <f>IF(OR(Z$2&gt;Inputs!$G$17,Inputs!$Q$51="salvage"),0,Inputs!$Q$52/Inputs!$Q$6)</f>
        <v>0</v>
      </c>
      <c r="AA202" s="267">
        <f>IF(OR(AA$2&gt;Inputs!$G$17,Inputs!$Q$51="salvage"),0,Inputs!$Q$52/Inputs!$Q$6)</f>
        <v>0</v>
      </c>
      <c r="AB202" s="267">
        <f>IF(OR(AB$2&gt;Inputs!$G$17,Inputs!$Q$51="salvage"),0,Inputs!$Q$52/Inputs!$Q$6)</f>
        <v>0</v>
      </c>
      <c r="AC202" s="267">
        <f>IF(OR(AC$2&gt;Inputs!$G$17,Inputs!$Q$51="salvage"),0,Inputs!$Q$52/Inputs!$Q$6)</f>
        <v>0</v>
      </c>
      <c r="AD202" s="267">
        <f>IF(OR(AD$2&gt;Inputs!$G$17,Inputs!$Q$51="salvage"),0,Inputs!$Q$52/Inputs!$Q$6)</f>
        <v>0</v>
      </c>
      <c r="AE202" s="267">
        <f>IF(OR(AE$2&gt;Inputs!$G$17,Inputs!$Q$51="salvage"),0,Inputs!$Q$52/Inputs!$Q$6)</f>
        <v>0</v>
      </c>
      <c r="AF202" s="267">
        <f>IF(OR(AF$2&gt;Inputs!$G$17,Inputs!$Q$51="salvage"),0,Inputs!$Q$52/Inputs!$Q$6)</f>
        <v>0</v>
      </c>
      <c r="AG202" s="267">
        <f>IF(OR(AG$2&gt;Inputs!$G$17,Inputs!$Q$51="salvage"),0,Inputs!$Q$52/Inputs!$Q$6)</f>
        <v>0</v>
      </c>
      <c r="AH202" s="267">
        <f>IF(OR(AH$2&gt;Inputs!$G$17,Inputs!$Q$51="salvage"),0,Inputs!$Q$52/Inputs!$Q$6)</f>
        <v>0</v>
      </c>
      <c r="AI202" s="267">
        <f>IF(OR(AI$2&gt;Inputs!$G$17,Inputs!$Q$51="salvage"),0,Inputs!$Q$52/Inputs!$Q$6)</f>
        <v>0</v>
      </c>
      <c r="AJ202" s="267">
        <f>IF(OR(AJ$2&gt;Inputs!$G$17,Inputs!$Q$51="salvage"),0,Inputs!$Q$52/Inputs!$Q$6)</f>
        <v>0</v>
      </c>
    </row>
    <row r="203" spans="2:36" ht="16">
      <c r="B203" s="230" t="s">
        <v>82</v>
      </c>
      <c r="C203" s="230"/>
      <c r="D203" s="230"/>
      <c r="E203" s="274"/>
      <c r="F203" s="267">
        <f>IF(F$2&gt;Inputs!$G$17,0,SUM(F198:F202))</f>
        <v>6113859.20777852</v>
      </c>
      <c r="G203" s="267">
        <f>IF(G$2&gt;Inputs!$G$17,0,SUM(G198:G202))</f>
        <v>6113859.20777852</v>
      </c>
      <c r="H203" s="267">
        <f>IF(H$2&gt;Inputs!$G$17,0,SUM(H198:H202))</f>
        <v>6113859.20777852</v>
      </c>
      <c r="I203" s="267">
        <f>IF(I$2&gt;Inputs!$G$17,0,SUM(I198:I202))</f>
        <v>6113859.20777852</v>
      </c>
      <c r="J203" s="267">
        <f>IF(J$2&gt;Inputs!$G$17,0,SUM(J198:J202))</f>
        <v>6113859.20777852</v>
      </c>
      <c r="K203" s="267">
        <f>IF(K$2&gt;Inputs!$G$17,0,SUM(K198:K202))</f>
        <v>6113859.20777852</v>
      </c>
      <c r="L203" s="267">
        <f>IF(L$2&gt;Inputs!$G$17,0,SUM(L198:L202))</f>
        <v>6113859.20777852</v>
      </c>
      <c r="M203" s="267">
        <f>IF(M$2&gt;Inputs!$G$17,0,SUM(M198:M202))</f>
        <v>6113859.20777852</v>
      </c>
      <c r="N203" s="267">
        <f>IF(N$2&gt;Inputs!$G$17,0,SUM(N198:N202))</f>
        <v>6113859.20777852</v>
      </c>
      <c r="O203" s="267">
        <f>IF(O$2&gt;Inputs!$G$17,0,SUM(O198:O202))</f>
        <v>6113859.20777852</v>
      </c>
      <c r="P203" s="267">
        <f>IF(P$2&gt;Inputs!$G$17,0,SUM(P198:P202))</f>
        <v>6113859.20777852</v>
      </c>
      <c r="Q203" s="267">
        <f>IF(Q$2&gt;Inputs!$G$17,0,SUM(Q198:Q202))</f>
        <v>6113859.20777852</v>
      </c>
      <c r="R203" s="267">
        <f>IF(R$2&gt;Inputs!$G$17,0,SUM(R198:R202))</f>
        <v>6113859.20777852</v>
      </c>
      <c r="S203" s="267">
        <f>IF(S$2&gt;Inputs!$G$17,0,SUM(S198:S202))</f>
        <v>6113859.20777852</v>
      </c>
      <c r="T203" s="267">
        <f>IF(T$2&gt;Inputs!$G$17,0,SUM(T198:T202))</f>
        <v>6113859.20777852</v>
      </c>
      <c r="U203" s="267">
        <f>IF(U$2&gt;Inputs!$G$17,0,SUM(U198:U202))</f>
        <v>6113859.20777852</v>
      </c>
      <c r="V203" s="267">
        <f>IF(V$2&gt;Inputs!$G$17,0,SUM(V198:V202))</f>
        <v>2571274.0620270707</v>
      </c>
      <c r="W203" s="267">
        <f>IF(W$2&gt;Inputs!$G$17,0,SUM(W198:W202))</f>
        <v>2571274.0620270707</v>
      </c>
      <c r="X203" s="267">
        <f>IF(X$2&gt;Inputs!$G$17,0,SUM(X198:X202))</f>
        <v>2571274.0620270707</v>
      </c>
      <c r="Y203" s="267">
        <f>IF(Y$2&gt;Inputs!$G$17,0,SUM(Y198:Y202))</f>
        <v>2571274.0620270707</v>
      </c>
      <c r="Z203" s="267">
        <f>IF(Z$2&gt;Inputs!$G$17,0,SUM(Z198:Z202))</f>
        <v>2571274.0620270707</v>
      </c>
      <c r="AA203" s="267">
        <f>IF(AA$2&gt;Inputs!$G$17,0,SUM(AA198:AA202))</f>
        <v>2571274.0620270707</v>
      </c>
      <c r="AB203" s="267">
        <f>IF(AB$2&gt;Inputs!$G$17,0,SUM(AB198:AB202))</f>
        <v>2571274.0620270707</v>
      </c>
      <c r="AC203" s="267">
        <f>IF(AC$2&gt;Inputs!$G$17,0,SUM(AC198:AC202))</f>
        <v>2571274.0620270707</v>
      </c>
      <c r="AD203" s="267">
        <f>IF(AD$2&gt;Inputs!$G$17,0,SUM(AD198:AD202))</f>
        <v>2571274.0620270707</v>
      </c>
      <c r="AE203" s="267">
        <f>IF(AE$2&gt;Inputs!$G$17,0,SUM(AE198:AE202))</f>
        <v>0</v>
      </c>
      <c r="AF203" s="267">
        <f>IF(AF$2&gt;Inputs!$G$17,0,SUM(AF198:AF202))</f>
        <v>0</v>
      </c>
      <c r="AG203" s="267">
        <f>IF(AG$2&gt;Inputs!$G$17,0,SUM(AG198:AG202))</f>
        <v>0</v>
      </c>
      <c r="AH203" s="267">
        <f>IF(AH$2&gt;Inputs!$G$17,0,SUM(AH198:AH202))</f>
        <v>0</v>
      </c>
      <c r="AI203" s="267">
        <f>IF(AI$2&gt;Inputs!$G$17,0,SUM(AI198:AI202))</f>
        <v>0</v>
      </c>
      <c r="AJ203" s="267">
        <f>IF(AJ$2&gt;Inputs!$G$17,0,SUM(AJ198:AJ202))</f>
        <v>0</v>
      </c>
    </row>
    <row r="204" spans="2:36" ht="16">
      <c r="B204" s="229"/>
      <c r="C204" s="229"/>
      <c r="D204" s="229"/>
      <c r="E204" s="274"/>
      <c r="F204" s="267"/>
      <c r="G204" s="267"/>
      <c r="H204" s="267"/>
      <c r="I204" s="267"/>
      <c r="J204" s="267"/>
      <c r="K204" s="267"/>
      <c r="L204" s="267"/>
      <c r="M204" s="267"/>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row>
    <row r="205" spans="2:36" ht="16">
      <c r="B205" s="230" t="s">
        <v>157</v>
      </c>
      <c r="C205" s="230"/>
      <c r="D205" s="230"/>
      <c r="E205" s="274"/>
      <c r="F205" s="267"/>
      <c r="G205" s="267">
        <f>AVERAGE(G198,G203)*Inputs!$G$101</f>
        <v>97821.747324456315</v>
      </c>
      <c r="H205" s="267">
        <f>AVERAGE(H198,H203)*Inputs!$G$101</f>
        <v>97821.747324456315</v>
      </c>
      <c r="I205" s="267">
        <f>AVERAGE(I198,I203)*Inputs!$G$101</f>
        <v>97821.747324456315</v>
      </c>
      <c r="J205" s="267">
        <f>AVERAGE(J198,J203)*Inputs!$G$101</f>
        <v>97821.747324456315</v>
      </c>
      <c r="K205" s="267">
        <f>AVERAGE(K198,K203)*Inputs!$G$101</f>
        <v>97821.747324456315</v>
      </c>
      <c r="L205" s="267">
        <f>AVERAGE(L198,L203)*Inputs!$G$101</f>
        <v>97821.747324456315</v>
      </c>
      <c r="M205" s="267">
        <f>AVERAGE(M198,M203)*Inputs!$G$101</f>
        <v>97821.747324456315</v>
      </c>
      <c r="N205" s="267">
        <f>AVERAGE(N198,N203)*Inputs!$G$101</f>
        <v>97821.747324456315</v>
      </c>
      <c r="O205" s="267">
        <f>AVERAGE(O198,O203)*Inputs!$G$101</f>
        <v>97821.747324456315</v>
      </c>
      <c r="P205" s="267">
        <f>AVERAGE(P198,P203)*Inputs!$G$101</f>
        <v>97821.747324456315</v>
      </c>
      <c r="Q205" s="267">
        <f>AVERAGE(Q198,Q203)*Inputs!$G$101</f>
        <v>97821.747324456315</v>
      </c>
      <c r="R205" s="267">
        <f>AVERAGE(R198,R203)*Inputs!$G$101</f>
        <v>97821.747324456315</v>
      </c>
      <c r="S205" s="267">
        <f>AVERAGE(S198,S203)*Inputs!$G$101</f>
        <v>97821.747324456315</v>
      </c>
      <c r="T205" s="267">
        <f>AVERAGE(T198,T203)*Inputs!$G$101</f>
        <v>97821.747324456315</v>
      </c>
      <c r="U205" s="267">
        <f>AVERAGE(U198,U203)*Inputs!$G$101</f>
        <v>97821.747324456315</v>
      </c>
      <c r="V205" s="267">
        <f>AVERAGE(V198,V203)*Inputs!$G$101</f>
        <v>69481.066158444737</v>
      </c>
      <c r="W205" s="267">
        <f>AVERAGE(W198,W203)*Inputs!$G$101</f>
        <v>41140.38499243313</v>
      </c>
      <c r="X205" s="267">
        <f>AVERAGE(X198,X203)*Inputs!$G$101</f>
        <v>41140.38499243313</v>
      </c>
      <c r="Y205" s="267">
        <f>AVERAGE(Y198,Y203)*Inputs!$G$101</f>
        <v>41140.38499243313</v>
      </c>
      <c r="Z205" s="267">
        <f>AVERAGE(Z198,Z203)*Inputs!$G$101</f>
        <v>41140.38499243313</v>
      </c>
      <c r="AA205" s="267">
        <f>AVERAGE(AA198,AA203)*Inputs!$G$101</f>
        <v>41140.38499243313</v>
      </c>
      <c r="AB205" s="267">
        <f>AVERAGE(AB198,AB203)*Inputs!$G$101</f>
        <v>41140.38499243313</v>
      </c>
      <c r="AC205" s="267">
        <f>AVERAGE(AC198,AC203)*Inputs!$G$101</f>
        <v>41140.38499243313</v>
      </c>
      <c r="AD205" s="267">
        <f>AVERAGE(AD198,AD203)*Inputs!$G$101</f>
        <v>41140.38499243313</v>
      </c>
      <c r="AE205" s="267">
        <f>AVERAGE(AE198,AE203)*Inputs!$G$101</f>
        <v>20570.192496216565</v>
      </c>
      <c r="AF205" s="267">
        <f>AVERAGE(AF198,AF203)*Inputs!$G$101</f>
        <v>0</v>
      </c>
      <c r="AG205" s="267">
        <f>AVERAGE(AG198,AG203)*Inputs!$G$101</f>
        <v>0</v>
      </c>
      <c r="AH205" s="267">
        <f>AVERAGE(AH198,AH203)*Inputs!$G$101</f>
        <v>0</v>
      </c>
      <c r="AI205" s="267">
        <f>AVERAGE(AI198,AI203)*Inputs!$G$101</f>
        <v>0</v>
      </c>
      <c r="AJ205" s="267">
        <f>AVERAGE(AJ198,AJ203)*Inputs!$G$101</f>
        <v>0</v>
      </c>
    </row>
    <row r="206" spans="2:36" ht="16">
      <c r="B206" s="230" t="s">
        <v>158</v>
      </c>
      <c r="C206" s="230"/>
      <c r="D206" s="230"/>
      <c r="E206" s="274"/>
      <c r="F206" s="274"/>
      <c r="G206" s="267">
        <f>SUM(G199:G202)</f>
        <v>0</v>
      </c>
      <c r="H206" s="267">
        <f t="shared" ref="H206:AJ206" si="111">SUM(H199:H202)</f>
        <v>0</v>
      </c>
      <c r="I206" s="267">
        <f t="shared" si="111"/>
        <v>0</v>
      </c>
      <c r="J206" s="267">
        <f t="shared" si="111"/>
        <v>0</v>
      </c>
      <c r="K206" s="267">
        <f t="shared" si="111"/>
        <v>0</v>
      </c>
      <c r="L206" s="267">
        <f t="shared" si="111"/>
        <v>0</v>
      </c>
      <c r="M206" s="267">
        <f t="shared" si="111"/>
        <v>0</v>
      </c>
      <c r="N206" s="267">
        <f t="shared" si="111"/>
        <v>0</v>
      </c>
      <c r="O206" s="267">
        <f t="shared" si="111"/>
        <v>0</v>
      </c>
      <c r="P206" s="267">
        <f t="shared" si="111"/>
        <v>0</v>
      </c>
      <c r="Q206" s="267">
        <f t="shared" si="111"/>
        <v>0</v>
      </c>
      <c r="R206" s="267">
        <f t="shared" si="111"/>
        <v>0</v>
      </c>
      <c r="S206" s="267">
        <f t="shared" si="111"/>
        <v>0</v>
      </c>
      <c r="T206" s="267">
        <f t="shared" si="111"/>
        <v>0</v>
      </c>
      <c r="U206" s="267">
        <f t="shared" si="111"/>
        <v>0</v>
      </c>
      <c r="V206" s="267">
        <f t="shared" si="111"/>
        <v>-3542585.1457514493</v>
      </c>
      <c r="W206" s="267">
        <f t="shared" si="111"/>
        <v>0</v>
      </c>
      <c r="X206" s="267">
        <f t="shared" si="111"/>
        <v>0</v>
      </c>
      <c r="Y206" s="267">
        <f t="shared" si="111"/>
        <v>0</v>
      </c>
      <c r="Z206" s="267">
        <f t="shared" si="111"/>
        <v>0</v>
      </c>
      <c r="AA206" s="267">
        <f t="shared" si="111"/>
        <v>0</v>
      </c>
      <c r="AB206" s="267">
        <f t="shared" si="111"/>
        <v>0</v>
      </c>
      <c r="AC206" s="267">
        <f t="shared" si="111"/>
        <v>0</v>
      </c>
      <c r="AD206" s="267">
        <f t="shared" si="111"/>
        <v>0</v>
      </c>
      <c r="AE206" s="267">
        <f t="shared" si="111"/>
        <v>-2571274.0620270707</v>
      </c>
      <c r="AF206" s="267">
        <f t="shared" si="111"/>
        <v>0</v>
      </c>
      <c r="AG206" s="267">
        <f t="shared" si="111"/>
        <v>0</v>
      </c>
      <c r="AH206" s="267">
        <f t="shared" si="111"/>
        <v>0</v>
      </c>
      <c r="AI206" s="267">
        <f t="shared" si="111"/>
        <v>0</v>
      </c>
      <c r="AJ206" s="267">
        <f t="shared" si="111"/>
        <v>0</v>
      </c>
    </row>
    <row r="207" spans="2:36" ht="17" thickBot="1">
      <c r="B207" s="275"/>
      <c r="C207" s="275"/>
      <c r="D207" s="275"/>
      <c r="E207" s="276"/>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7"/>
      <c r="AJ207" s="277"/>
    </row>
    <row r="208" spans="2:36" ht="16">
      <c r="B208" s="268"/>
      <c r="C208" s="268"/>
      <c r="D208" s="268"/>
      <c r="E208" s="503"/>
      <c r="F208" s="504"/>
      <c r="G208" s="504"/>
      <c r="H208" s="504"/>
      <c r="I208" s="504"/>
      <c r="J208" s="504"/>
      <c r="K208" s="504"/>
      <c r="L208" s="504"/>
      <c r="M208" s="504"/>
      <c r="N208" s="504"/>
      <c r="O208" s="504"/>
      <c r="P208" s="504"/>
      <c r="Q208" s="504"/>
      <c r="R208" s="504"/>
      <c r="S208" s="504"/>
      <c r="T208" s="504"/>
      <c r="U208" s="504"/>
      <c r="V208" s="504"/>
      <c r="W208" s="504"/>
      <c r="X208" s="504"/>
      <c r="Y208" s="504"/>
      <c r="Z208" s="504"/>
      <c r="AA208" s="504"/>
      <c r="AB208" s="504"/>
      <c r="AC208" s="504"/>
      <c r="AD208" s="504"/>
      <c r="AE208" s="504"/>
      <c r="AF208" s="504"/>
      <c r="AG208" s="504"/>
      <c r="AH208" s="504"/>
      <c r="AI208" s="504"/>
      <c r="AJ208" s="504"/>
    </row>
    <row r="209" spans="1:36" ht="16">
      <c r="B209" s="229" t="s">
        <v>344</v>
      </c>
      <c r="C209" s="229"/>
      <c r="D209" s="229"/>
      <c r="E209" s="742" t="s">
        <v>2</v>
      </c>
      <c r="F209" s="504"/>
      <c r="G209" s="504"/>
      <c r="H209" s="504"/>
      <c r="I209" s="504"/>
      <c r="J209" s="504"/>
      <c r="K209" s="504"/>
      <c r="L209" s="504"/>
      <c r="M209" s="504"/>
      <c r="N209" s="504"/>
      <c r="O209" s="504"/>
      <c r="P209" s="504"/>
      <c r="Q209" s="504"/>
      <c r="R209" s="504"/>
      <c r="S209" s="504"/>
      <c r="T209" s="504"/>
      <c r="U209" s="504"/>
      <c r="V209" s="504"/>
      <c r="W209" s="504"/>
      <c r="X209" s="504"/>
      <c r="Y209" s="504"/>
      <c r="Z209" s="504"/>
      <c r="AA209" s="504"/>
      <c r="AB209" s="504"/>
      <c r="AC209" s="504"/>
      <c r="AD209" s="504"/>
      <c r="AE209" s="504"/>
      <c r="AF209" s="504"/>
      <c r="AG209" s="504"/>
      <c r="AH209" s="504"/>
      <c r="AI209" s="504"/>
      <c r="AJ209" s="504"/>
    </row>
    <row r="210" spans="1:36" s="274" customFormat="1" ht="16">
      <c r="A210" s="350"/>
      <c r="B210" s="510" t="s">
        <v>329</v>
      </c>
      <c r="C210" s="510"/>
      <c r="D210" s="510"/>
      <c r="E210" s="503"/>
      <c r="F210" s="504"/>
      <c r="G210" s="504"/>
      <c r="H210" s="504"/>
      <c r="I210" s="504"/>
      <c r="J210" s="504"/>
      <c r="K210" s="504"/>
      <c r="L210" s="504"/>
      <c r="M210" s="504"/>
      <c r="N210" s="504"/>
      <c r="O210" s="504"/>
      <c r="P210" s="504"/>
      <c r="Q210" s="504"/>
      <c r="R210" s="504"/>
      <c r="S210" s="504"/>
      <c r="T210" s="504"/>
      <c r="U210" s="504"/>
      <c r="V210" s="504"/>
      <c r="W210" s="504"/>
      <c r="X210" s="504"/>
      <c r="Y210" s="504"/>
      <c r="Z210" s="504"/>
      <c r="AA210" s="504"/>
      <c r="AB210" s="504"/>
      <c r="AC210" s="504"/>
      <c r="AD210" s="504"/>
      <c r="AE210" s="504"/>
      <c r="AF210" s="504"/>
      <c r="AG210" s="504"/>
      <c r="AH210" s="504"/>
      <c r="AI210" s="504"/>
      <c r="AJ210" s="504"/>
    </row>
    <row r="211" spans="1:36" s="274" customFormat="1" ht="16">
      <c r="A211" s="350"/>
      <c r="B211" s="510" t="s">
        <v>328</v>
      </c>
      <c r="C211" s="510"/>
      <c r="D211" s="510"/>
      <c r="E211" s="503"/>
      <c r="F211" s="504"/>
      <c r="G211" s="511">
        <f>IF(G2=1,0%,IF(Inputs!$G$14="Annual",Inputs!$G$15,VLOOKUP('Cash Flow'!G2,'Complex Inputs'!$I$129:$J$158,2)))</f>
        <v>0</v>
      </c>
      <c r="H211" s="511">
        <f>IF(H2=1,0%,IF(Inputs!$G$14="Annual",Inputs!$G$15,VLOOKUP('Cash Flow'!H2,'Complex Inputs'!$I$129:$J$158,2)))</f>
        <v>0.03</v>
      </c>
      <c r="I211" s="511">
        <f>IF(I2=1,0%,IF(Inputs!$G$14="Annual",Inputs!$G$15,VLOOKUP('Cash Flow'!I2,'Complex Inputs'!$I$129:$J$158,2)))</f>
        <v>0.03</v>
      </c>
      <c r="J211" s="511">
        <f>IF(J2=1,0%,IF(Inputs!$G$14="Annual",Inputs!$G$15,VLOOKUP('Cash Flow'!J2,'Complex Inputs'!$I$129:$J$158,2)))</f>
        <v>0.03</v>
      </c>
      <c r="K211" s="511">
        <f>IF(K2=1,0%,IF(Inputs!$G$14="Annual",Inputs!$G$15,VLOOKUP('Cash Flow'!K2,'Complex Inputs'!$I$129:$J$158,2)))</f>
        <v>0.03</v>
      </c>
      <c r="L211" s="511">
        <f>IF(L2=1,0%,IF(Inputs!$G$14="Annual",Inputs!$G$15,VLOOKUP('Cash Flow'!L2,'Complex Inputs'!$I$129:$J$158,2)))</f>
        <v>0.03</v>
      </c>
      <c r="M211" s="511">
        <f>IF(M2=1,0%,IF(Inputs!$G$14="Annual",Inputs!$G$15,VLOOKUP('Cash Flow'!M2,'Complex Inputs'!$I$129:$J$158,2)))</f>
        <v>0.03</v>
      </c>
      <c r="N211" s="511">
        <f>IF(N2=1,0%,IF(Inputs!$G$14="Annual",Inputs!$G$15,VLOOKUP('Cash Flow'!N2,'Complex Inputs'!$I$129:$J$158,2)))</f>
        <v>0.03</v>
      </c>
      <c r="O211" s="511">
        <f>IF(O2=1,0%,IF(Inputs!$G$14="Annual",Inputs!$G$15,VLOOKUP('Cash Flow'!O2,'Complex Inputs'!$I$129:$J$158,2)))</f>
        <v>0.03</v>
      </c>
      <c r="P211" s="511">
        <f>IF(P2=1,0%,IF(Inputs!$G$14="Annual",Inputs!$G$15,VLOOKUP('Cash Flow'!P2,'Complex Inputs'!$I$129:$J$158,2)))</f>
        <v>0.03</v>
      </c>
      <c r="Q211" s="511">
        <f>IF(Q2=1,0%,IF(Inputs!$G$14="Annual",Inputs!$G$15,VLOOKUP('Cash Flow'!Q2,'Complex Inputs'!$I$129:$J$158,2)))</f>
        <v>0.03</v>
      </c>
      <c r="R211" s="511">
        <f>IF(R2=1,0%,IF(Inputs!$G$14="Annual",Inputs!$G$15,VLOOKUP('Cash Flow'!R2,'Complex Inputs'!$I$129:$J$158,2)))</f>
        <v>0.03</v>
      </c>
      <c r="S211" s="511">
        <f>IF(S2=1,0%,IF(Inputs!$G$14="Annual",Inputs!$G$15,VLOOKUP('Cash Flow'!S2,'Complex Inputs'!$I$129:$J$158,2)))</f>
        <v>0.03</v>
      </c>
      <c r="T211" s="511">
        <f>IF(T2=1,0%,IF(Inputs!$G$14="Annual",Inputs!$G$15,VLOOKUP('Cash Flow'!T2,'Complex Inputs'!$I$129:$J$158,2)))</f>
        <v>0.03</v>
      </c>
      <c r="U211" s="511">
        <f>IF(U2=1,0%,IF(Inputs!$G$14="Annual",Inputs!$G$15,VLOOKUP('Cash Flow'!U2,'Complex Inputs'!$I$129:$J$158,2)))</f>
        <v>0.03</v>
      </c>
      <c r="V211" s="511">
        <f>IF(V2=1,0%,IF(Inputs!$G$14="Annual",Inputs!$G$15,VLOOKUP('Cash Flow'!V2,'Complex Inputs'!$I$129:$J$158,2)))</f>
        <v>0.03</v>
      </c>
      <c r="W211" s="511">
        <f>IF(W2=1,0%,IF(Inputs!$G$14="Annual",Inputs!$G$15,VLOOKUP('Cash Flow'!W2,'Complex Inputs'!$I$129:$J$158,2)))</f>
        <v>0.03</v>
      </c>
      <c r="X211" s="511">
        <f>IF(X2=1,0%,IF(Inputs!$G$14="Annual",Inputs!$G$15,VLOOKUP('Cash Flow'!X2,'Complex Inputs'!$I$129:$J$158,2)))</f>
        <v>0.03</v>
      </c>
      <c r="Y211" s="511">
        <f>IF(Y2=1,0%,IF(Inputs!$G$14="Annual",Inputs!$G$15,VLOOKUP('Cash Flow'!Y2,'Complex Inputs'!$I$129:$J$158,2)))</f>
        <v>0.03</v>
      </c>
      <c r="Z211" s="511">
        <f>IF(Z2=1,0%,IF(Inputs!$G$14="Annual",Inputs!$G$15,VLOOKUP('Cash Flow'!Z2,'Complex Inputs'!$I$129:$J$158,2)))</f>
        <v>0.03</v>
      </c>
      <c r="AA211" s="511">
        <f>IF(AA2=1,0%,IF(Inputs!$G$14="Annual",Inputs!$G$15,VLOOKUP('Cash Flow'!AA2,'Complex Inputs'!$I$129:$J$158,2)))</f>
        <v>0.03</v>
      </c>
      <c r="AB211" s="511">
        <f>IF(AB2=1,0%,IF(Inputs!$G$14="Annual",Inputs!$G$15,VLOOKUP('Cash Flow'!AB2,'Complex Inputs'!$I$129:$J$158,2)))</f>
        <v>0.03</v>
      </c>
      <c r="AC211" s="511">
        <f>IF(AC2=1,0%,IF(Inputs!$G$14="Annual",Inputs!$G$15,VLOOKUP('Cash Flow'!AC2,'Complex Inputs'!$I$129:$J$158,2)))</f>
        <v>0.03</v>
      </c>
      <c r="AD211" s="511">
        <f>IF(AD2=1,0%,IF(Inputs!$G$14="Annual",Inputs!$G$15,VLOOKUP('Cash Flow'!AD2,'Complex Inputs'!$I$129:$J$158,2)))</f>
        <v>0.03</v>
      </c>
      <c r="AE211" s="511">
        <f>IF(AE2=1,0%,IF(Inputs!$G$14="Annual",Inputs!$G$15,VLOOKUP('Cash Flow'!AE2,'Complex Inputs'!$I$129:$J$158,2)))</f>
        <v>0.03</v>
      </c>
      <c r="AF211" s="511">
        <f>IF(AF2=1,0%,IF(Inputs!$G$14="Annual",Inputs!$G$15,VLOOKUP('Cash Flow'!AF2,'Complex Inputs'!$I$129:$J$158,2)))</f>
        <v>0.03</v>
      </c>
      <c r="AG211" s="511">
        <f>IF(AG2=1,0%,IF(Inputs!$G$14="Annual",Inputs!$G$15,VLOOKUP('Cash Flow'!AG2,'Complex Inputs'!$I$129:$J$158,2)))</f>
        <v>0.03</v>
      </c>
      <c r="AH211" s="511">
        <f>IF(AH2=1,0%,IF(Inputs!$G$14="Annual",Inputs!$G$15,VLOOKUP('Cash Flow'!AH2,'Complex Inputs'!$I$129:$J$158,2)))</f>
        <v>0.03</v>
      </c>
      <c r="AI211" s="511">
        <f>IF(AI2=1,0%,IF(Inputs!$G$14="Annual",Inputs!$G$15,VLOOKUP('Cash Flow'!AI2,'Complex Inputs'!$I$129:$J$158,2)))</f>
        <v>0.03</v>
      </c>
      <c r="AJ211" s="511">
        <f>IF(AJ2=1,0%,IF(Inputs!$G$14="Annual",Inputs!$G$15,VLOOKUP('Cash Flow'!AJ2,'Complex Inputs'!$I$129:$J$158,2)))</f>
        <v>0.03</v>
      </c>
    </row>
    <row r="212" spans="1:36" s="503" customFormat="1" ht="16">
      <c r="A212" s="518"/>
      <c r="B212" s="512" t="s">
        <v>428</v>
      </c>
      <c r="C212" s="512"/>
      <c r="D212" s="512"/>
      <c r="F212" s="504"/>
      <c r="G212" s="513">
        <f>Inputs!$G$13*1000*8760</f>
        <v>138315789.47368422</v>
      </c>
      <c r="H212" s="514">
        <f>G212*(1-H211)</f>
        <v>134166315.7894737</v>
      </c>
      <c r="I212" s="514">
        <f t="shared" ref="I212:AJ212" si="112">H212*(1-I211)</f>
        <v>130141326.31578948</v>
      </c>
      <c r="J212" s="514">
        <f t="shared" si="112"/>
        <v>126237086.52631579</v>
      </c>
      <c r="K212" s="514">
        <f t="shared" si="112"/>
        <v>122449973.93052632</v>
      </c>
      <c r="L212" s="514">
        <f t="shared" si="112"/>
        <v>118776474.71261053</v>
      </c>
      <c r="M212" s="514">
        <f t="shared" si="112"/>
        <v>115213180.47123221</v>
      </c>
      <c r="N212" s="514">
        <f t="shared" si="112"/>
        <v>111756785.05709523</v>
      </c>
      <c r="O212" s="514">
        <f t="shared" si="112"/>
        <v>108404081.50538237</v>
      </c>
      <c r="P212" s="514">
        <f t="shared" si="112"/>
        <v>105151959.0602209</v>
      </c>
      <c r="Q212" s="514">
        <f t="shared" si="112"/>
        <v>101997400.28841427</v>
      </c>
      <c r="R212" s="514">
        <f t="shared" si="112"/>
        <v>98937478.279761836</v>
      </c>
      <c r="S212" s="514">
        <f t="shared" si="112"/>
        <v>95969353.931368977</v>
      </c>
      <c r="T212" s="514">
        <f t="shared" si="112"/>
        <v>93090273.31342791</v>
      </c>
      <c r="U212" s="514">
        <f t="shared" si="112"/>
        <v>90297565.114025071</v>
      </c>
      <c r="V212" s="514">
        <f t="shared" si="112"/>
        <v>87588638.160604313</v>
      </c>
      <c r="W212" s="514">
        <f t="shared" si="112"/>
        <v>84960979.015786186</v>
      </c>
      <c r="X212" s="514">
        <f t="shared" si="112"/>
        <v>82412149.645312592</v>
      </c>
      <c r="Y212" s="514">
        <f t="shared" si="112"/>
        <v>79939785.155953214</v>
      </c>
      <c r="Z212" s="514">
        <f t="shared" si="112"/>
        <v>77541591.60127461</v>
      </c>
      <c r="AA212" s="514">
        <f t="shared" si="112"/>
        <v>75215343.853236362</v>
      </c>
      <c r="AB212" s="514">
        <f t="shared" si="112"/>
        <v>72958883.537639275</v>
      </c>
      <c r="AC212" s="514">
        <f t="shared" si="112"/>
        <v>70770117.0315101</v>
      </c>
      <c r="AD212" s="514">
        <f t="shared" si="112"/>
        <v>68647013.520564795</v>
      </c>
      <c r="AE212" s="514">
        <f t="shared" si="112"/>
        <v>66587603.114947848</v>
      </c>
      <c r="AF212" s="514">
        <f t="shared" si="112"/>
        <v>64589975.02149941</v>
      </c>
      <c r="AG212" s="514">
        <f t="shared" si="112"/>
        <v>62652275.770854428</v>
      </c>
      <c r="AH212" s="514">
        <f t="shared" si="112"/>
        <v>60772707.497728795</v>
      </c>
      <c r="AI212" s="514">
        <f t="shared" si="112"/>
        <v>58949526.272796929</v>
      </c>
      <c r="AJ212" s="514">
        <f t="shared" si="112"/>
        <v>57181040.484613016</v>
      </c>
    </row>
    <row r="213" spans="1:36" s="503" customFormat="1" ht="16">
      <c r="A213" s="518"/>
      <c r="B213" s="512" t="s">
        <v>429</v>
      </c>
      <c r="C213" s="512"/>
      <c r="D213" s="512"/>
      <c r="F213" s="504"/>
      <c r="G213" s="514">
        <f>IF(G2=Inputs!$Q$40,G212+(Inputs!$Q$43*Inputs!$G$13*8760*1000),IF(G2&gt;Inputs!$Q$40,'Cash Flow'!F213*(1-G211),G212))</f>
        <v>138315789.47368422</v>
      </c>
      <c r="H213" s="514">
        <f>IF(H2=Inputs!$Q$40,H212+(Inputs!$Q$43*Inputs!$G$13*8760*1000),IF(H2&gt;Inputs!$Q$40,'Cash Flow'!G213*(1-H211),H212))</f>
        <v>134166315.7894737</v>
      </c>
      <c r="I213" s="514">
        <f>IF(I2=Inputs!$Q$40,I212+(Inputs!$Q$43*Inputs!$G$13*8760*1000),IF(I2&gt;Inputs!$Q$40,'Cash Flow'!H213*(1-I211),I212))</f>
        <v>130141326.31578948</v>
      </c>
      <c r="J213" s="514">
        <f>IF(J2=Inputs!$Q$40,J212+(Inputs!$Q$43*Inputs!$G$13*8760*1000),IF(J2&gt;Inputs!$Q$40,'Cash Flow'!I213*(1-J211),J212))</f>
        <v>126237086.52631579</v>
      </c>
      <c r="K213" s="514">
        <f>IF(K2=Inputs!$Q$40,K212+(Inputs!$Q$43*Inputs!$G$13*8760*1000),IF(K2&gt;Inputs!$Q$40,'Cash Flow'!J213*(1-K211),K212))</f>
        <v>122449973.93052632</v>
      </c>
      <c r="L213" s="514">
        <f>IF(L2=Inputs!$Q$40,L212+(Inputs!$Q$43*Inputs!$G$13*8760*1000),IF(L2&gt;Inputs!$Q$40,'Cash Flow'!K213*(1-L211),L212))</f>
        <v>118776474.71261053</v>
      </c>
      <c r="M213" s="514">
        <f>IF(M2=Inputs!$Q$40,M212+(Inputs!$Q$43*Inputs!$G$13*8760*1000),IF(M2&gt;Inputs!$Q$40,'Cash Flow'!L213*(1-M211),M212))</f>
        <v>115213180.47123221</v>
      </c>
      <c r="N213" s="514">
        <f>IF(N2=Inputs!$Q$40,N212+(Inputs!$Q$43*Inputs!$G$13*8760*1000),IF(N2&gt;Inputs!$Q$40,'Cash Flow'!M213*(1-N211),N212))</f>
        <v>111756785.05709523</v>
      </c>
      <c r="O213" s="514">
        <f>IF(O2=Inputs!$Q$40,O212+(Inputs!$Q$43*Inputs!$G$13*8760*1000),IF(O2&gt;Inputs!$Q$40,'Cash Flow'!N213*(1-O211),O212))</f>
        <v>108404081.50538237</v>
      </c>
      <c r="P213" s="514">
        <f>IF(P2=Inputs!$Q$40,P212+(Inputs!$Q$43*Inputs!$G$13*8760*1000),IF(P2&gt;Inputs!$Q$40,'Cash Flow'!O213*(1-P211),P212))</f>
        <v>112067748.5339051</v>
      </c>
      <c r="Q213" s="514">
        <f>IF(Q2=Inputs!$Q$40,Q212+(Inputs!$Q$43*Inputs!$G$13*8760*1000),IF(Q2&gt;Inputs!$Q$40,'Cash Flow'!P213*(1-Q211),Q212))</f>
        <v>108705716.07788795</v>
      </c>
      <c r="R213" s="514">
        <f>IF(R2=Inputs!$Q$40,R212+(Inputs!$Q$43*Inputs!$G$13*8760*1000),IF(R2&gt;Inputs!$Q$40,'Cash Flow'!Q213*(1-R211),R212))</f>
        <v>105444544.59555131</v>
      </c>
      <c r="S213" s="514">
        <f>IF(S2=Inputs!$Q$40,S212+(Inputs!$Q$43*Inputs!$G$13*8760*1000),IF(S2&gt;Inputs!$Q$40,'Cash Flow'!R213*(1-S211),S212))</f>
        <v>102281208.25768477</v>
      </c>
      <c r="T213" s="514">
        <f>IF(T2=Inputs!$Q$40,T212+(Inputs!$Q$43*Inputs!$G$13*8760*1000),IF(T2&gt;Inputs!$Q$40,'Cash Flow'!S213*(1-T211),T212))</f>
        <v>99212772.009954214</v>
      </c>
      <c r="U213" s="514">
        <f>IF(U2=Inputs!$Q$40,U212+(Inputs!$Q$43*Inputs!$G$13*8760*1000),IF(U2&gt;Inputs!$Q$40,'Cash Flow'!T213*(1-U211),U212))</f>
        <v>96236388.849655584</v>
      </c>
      <c r="V213" s="514">
        <f>IF(V2=Inputs!$Q$40,V212+(Inputs!$Q$43*Inputs!$G$13*8760*1000),IF(V2&gt;Inputs!$Q$40,'Cash Flow'!U213*(1-V211),V212))</f>
        <v>93349297.18416591</v>
      </c>
      <c r="W213" s="514">
        <f>IF(W2=Inputs!$Q$40,W212+(Inputs!$Q$43*Inputs!$G$13*8760*1000),IF(W2&gt;Inputs!$Q$40,'Cash Flow'!V213*(1-W211),W212))</f>
        <v>90548818.268640935</v>
      </c>
      <c r="X213" s="514">
        <f>IF(X2=Inputs!$Q$40,X212+(Inputs!$Q$43*Inputs!$G$13*8760*1000),IF(X2&gt;Inputs!$Q$40,'Cash Flow'!W213*(1-X211),X212))</f>
        <v>87832353.72058171</v>
      </c>
      <c r="Y213" s="514">
        <f>IF(Y2=Inputs!$Q$40,Y212+(Inputs!$Q$43*Inputs!$G$13*8760*1000),IF(Y2&gt;Inputs!$Q$40,'Cash Flow'!X213*(1-Y211),Y212))</f>
        <v>85197383.108964249</v>
      </c>
      <c r="Z213" s="514">
        <f>IF(Z2=Inputs!$Q$40,Z212+(Inputs!$Q$43*Inputs!$G$13*8760*1000),IF(Z2&gt;Inputs!$Q$40,'Cash Flow'!Y213*(1-Z211),Z212))</f>
        <v>82641461.615695313</v>
      </c>
      <c r="AA213" s="514">
        <f>IF(AA2=Inputs!$Q$40,AA212+(Inputs!$Q$43*Inputs!$G$13*8760*1000),IF(AA2&gt;Inputs!$Q$40,'Cash Flow'!Z213*(1-AA211),AA212))</f>
        <v>80162217.767224446</v>
      </c>
      <c r="AB213" s="514">
        <f>IF(AB2=Inputs!$Q$40,AB212+(Inputs!$Q$43*Inputs!$G$13*8760*1000),IF(AB2&gt;Inputs!$Q$40,'Cash Flow'!AA213*(1-AB211),AB212))</f>
        <v>77757351.234207705</v>
      </c>
      <c r="AC213" s="514">
        <f>IF(AC2=Inputs!$Q$40,AC212+(Inputs!$Q$43*Inputs!$G$13*8760*1000),IF(AC2&gt;Inputs!$Q$40,'Cash Flow'!AB213*(1-AC211),AC212))</f>
        <v>75424630.697181478</v>
      </c>
      <c r="AD213" s="514">
        <f>IF(AD2=Inputs!$Q$40,AD212+(Inputs!$Q$43*Inputs!$G$13*8760*1000),IF(AD2&gt;Inputs!$Q$40,'Cash Flow'!AC213*(1-AD211),AD212))</f>
        <v>73161891.776266038</v>
      </c>
      <c r="AE213" s="514">
        <f>IF(AE2=Inputs!$Q$40,AE212+(Inputs!$Q$43*Inputs!$G$13*8760*1000),IF(AE2&gt;Inputs!$Q$40,'Cash Flow'!AD213*(1-AE211),AE212))</f>
        <v>70967035.022978052</v>
      </c>
      <c r="AF213" s="514">
        <f>IF(AF2=Inputs!$Q$40,AF212+(Inputs!$Q$43*Inputs!$G$13*8760*1000),IF(AF2&gt;Inputs!$Q$40,'Cash Flow'!AE213*(1-AF211),AF212))</f>
        <v>68838023.972288713</v>
      </c>
      <c r="AG213" s="514">
        <f>IF(AG2=Inputs!$Q$40,AG212+(Inputs!$Q$43*Inputs!$G$13*8760*1000),IF(AG2&gt;Inputs!$Q$40,'Cash Flow'!AF213*(1-AG211),AG212))</f>
        <v>66772883.25312005</v>
      </c>
      <c r="AH213" s="514">
        <f>IF(AH2=Inputs!$Q$40,AH212+(Inputs!$Q$43*Inputs!$G$13*8760*1000),IF(AH2&gt;Inputs!$Q$40,'Cash Flow'!AG213*(1-AH211),AH212))</f>
        <v>64769696.755526446</v>
      </c>
      <c r="AI213" s="514">
        <f>IF(AI2=Inputs!$Q$40,AI212+(Inputs!$Q$43*Inputs!$G$13*8760*1000),IF(AI2&gt;Inputs!$Q$40,'Cash Flow'!AH213*(1-AI211),AI212))</f>
        <v>62826605.852860652</v>
      </c>
      <c r="AJ213" s="514">
        <f>IF(AJ2=Inputs!$Q$40,AJ212+(Inputs!$Q$43*Inputs!$G$13*8760*1000),IF(AJ2&gt;Inputs!$Q$40,'Cash Flow'!AI213*(1-AJ211),AJ212))</f>
        <v>60941807.677274831</v>
      </c>
    </row>
    <row r="214" spans="1:36" s="503" customFormat="1" ht="16">
      <c r="A214" s="518"/>
      <c r="B214" s="512" t="s">
        <v>430</v>
      </c>
      <c r="C214" s="512"/>
      <c r="D214" s="512"/>
      <c r="F214" s="504"/>
      <c r="G214" s="514">
        <f>IF(G2=Inputs!$Q$44,G213+(Inputs!$Q$47*Inputs!$G$13*8760*1000),IF(G2&gt;Inputs!$Q$44,'Cash Flow'!F214*(1-G211),G213))</f>
        <v>138315789.47368422</v>
      </c>
      <c r="H214" s="514">
        <f>IF(H2=Inputs!$Q$44,H213+(Inputs!$Q$47*Inputs!$G$13*8760*1000),IF(H2&gt;Inputs!$Q$44,'Cash Flow'!G214*(1-H211),H213))</f>
        <v>134166315.7894737</v>
      </c>
      <c r="I214" s="514">
        <f>IF(I2=Inputs!$Q$44,I213+(Inputs!$Q$47*Inputs!$G$13*8760*1000),IF(I2&gt;Inputs!$Q$44,'Cash Flow'!H214*(1-I211),I213))</f>
        <v>130141326.31578948</v>
      </c>
      <c r="J214" s="514">
        <f>IF(J2=Inputs!$Q$44,J213+(Inputs!$Q$47*Inputs!$G$13*8760*1000),IF(J2&gt;Inputs!$Q$44,'Cash Flow'!I214*(1-J211),J213))</f>
        <v>126237086.52631579</v>
      </c>
      <c r="K214" s="514">
        <f>IF(K2=Inputs!$Q$44,K213+(Inputs!$Q$47*Inputs!$G$13*8760*1000),IF(K2&gt;Inputs!$Q$44,'Cash Flow'!J214*(1-K211),K213))</f>
        <v>122449973.93052632</v>
      </c>
      <c r="L214" s="514">
        <f>IF(L2=Inputs!$Q$44,L213+(Inputs!$Q$47*Inputs!$G$13*8760*1000),IF(L2&gt;Inputs!$Q$44,'Cash Flow'!K214*(1-L211),L213))</f>
        <v>118776474.71261053</v>
      </c>
      <c r="M214" s="514">
        <f>IF(M2=Inputs!$Q$44,M213+(Inputs!$Q$47*Inputs!$G$13*8760*1000),IF(M2&gt;Inputs!$Q$44,'Cash Flow'!L214*(1-M211),M213))</f>
        <v>115213180.47123221</v>
      </c>
      <c r="N214" s="514">
        <f>IF(N2=Inputs!$Q$44,N213+(Inputs!$Q$47*Inputs!$G$13*8760*1000),IF(N2&gt;Inputs!$Q$44,'Cash Flow'!M214*(1-N211),N213))</f>
        <v>111756785.05709523</v>
      </c>
      <c r="O214" s="514">
        <f>IF(O2=Inputs!$Q$44,O213+(Inputs!$Q$47*Inputs!$G$13*8760*1000),IF(O2&gt;Inputs!$Q$44,'Cash Flow'!N214*(1-O211),O213))</f>
        <v>108404081.50538237</v>
      </c>
      <c r="P214" s="514">
        <f>IF(P2=Inputs!$Q$44,P213+(Inputs!$Q$47*Inputs!$G$13*8760*1000),IF(P2&gt;Inputs!$Q$44,'Cash Flow'!O214*(1-P211),P213))</f>
        <v>112067748.5339051</v>
      </c>
      <c r="Q214" s="514">
        <f>IF(Q2=Inputs!$Q$44,Q213+(Inputs!$Q$47*Inputs!$G$13*8760*1000),IF(Q2&gt;Inputs!$Q$44,'Cash Flow'!P214*(1-Q211),Q213))</f>
        <v>108705716.07788795</v>
      </c>
      <c r="R214" s="514">
        <f>IF(R2=Inputs!$Q$44,R213+(Inputs!$Q$47*Inputs!$G$13*8760*1000),IF(R2&gt;Inputs!$Q$44,'Cash Flow'!Q214*(1-R211),R213))</f>
        <v>105444544.59555131</v>
      </c>
      <c r="S214" s="514">
        <f>IF(S2=Inputs!$Q$44,S213+(Inputs!$Q$47*Inputs!$G$13*8760*1000),IF(S2&gt;Inputs!$Q$44,'Cash Flow'!R214*(1-S211),S213))</f>
        <v>102281208.25768477</v>
      </c>
      <c r="T214" s="514">
        <f>IF(T2=Inputs!$Q$44,T213+(Inputs!$Q$47*Inputs!$G$13*8760*1000),IF(T2&gt;Inputs!$Q$44,'Cash Flow'!S214*(1-T211),T213))</f>
        <v>99212772.009954214</v>
      </c>
      <c r="U214" s="514">
        <f>IF(U2=Inputs!$Q$44,U213+(Inputs!$Q$47*Inputs!$G$13*8760*1000),IF(U2&gt;Inputs!$Q$44,'Cash Flow'!T214*(1-U211),U213))</f>
        <v>96236388.849655584</v>
      </c>
      <c r="V214" s="514">
        <f>IF(V2=Inputs!$Q$44,V213+(Inputs!$Q$47*Inputs!$G$13*8760*1000),IF(V2&gt;Inputs!$Q$44,'Cash Flow'!U214*(1-V211),V213))</f>
        <v>93349297.18416591</v>
      </c>
      <c r="W214" s="514">
        <f>IF(W2=Inputs!$Q$44,W213+(Inputs!$Q$47*Inputs!$G$13*8760*1000),IF(W2&gt;Inputs!$Q$44,'Cash Flow'!V214*(1-W211),W213))</f>
        <v>90548818.268640935</v>
      </c>
      <c r="X214" s="514">
        <f>IF(X2=Inputs!$Q$44,X213+(Inputs!$Q$47*Inputs!$G$13*8760*1000),IF(X2&gt;Inputs!$Q$44,'Cash Flow'!W214*(1-X211),X213))</f>
        <v>87832353.72058171</v>
      </c>
      <c r="Y214" s="514">
        <f>IF(Y2=Inputs!$Q$44,Y213+(Inputs!$Q$47*Inputs!$G$13*8760*1000),IF(Y2&gt;Inputs!$Q$44,'Cash Flow'!X214*(1-Y211),Y213))</f>
        <v>85197383.108964249</v>
      </c>
      <c r="Z214" s="514">
        <f>IF(Z2=Inputs!$Q$44,Z213+(Inputs!$Q$47*Inputs!$G$13*8760*1000),IF(Z2&gt;Inputs!$Q$44,'Cash Flow'!Y214*(1-Z211),Z213))</f>
        <v>93706724.773590058</v>
      </c>
      <c r="AA214" s="514">
        <f>IF(AA2=Inputs!$Q$44,AA213+(Inputs!$Q$47*Inputs!$G$13*8760*1000),IF(AA2&gt;Inputs!$Q$44,'Cash Flow'!Z214*(1-AA211),AA213))</f>
        <v>90895523.03038235</v>
      </c>
      <c r="AB214" s="514">
        <f>IF(AB2=Inputs!$Q$44,AB213+(Inputs!$Q$47*Inputs!$G$13*8760*1000),IF(AB2&gt;Inputs!$Q$44,'Cash Flow'!AA214*(1-AB211),AB213))</f>
        <v>88168657.339470878</v>
      </c>
      <c r="AC214" s="514">
        <f>IF(AC2=Inputs!$Q$44,AC213+(Inputs!$Q$47*Inputs!$G$13*8760*1000),IF(AC2&gt;Inputs!$Q$44,'Cash Flow'!AB214*(1-AC211),AC213))</f>
        <v>85523597.619286746</v>
      </c>
      <c r="AD214" s="514">
        <f>IF(AD2=Inputs!$Q$44,AD213+(Inputs!$Q$47*Inputs!$G$13*8760*1000),IF(AD2&gt;Inputs!$Q$44,'Cash Flow'!AC214*(1-AD211),AD213))</f>
        <v>82957889.690708145</v>
      </c>
      <c r="AE214" s="514">
        <f>IF(AE2=Inputs!$Q$44,AE213+(Inputs!$Q$47*Inputs!$G$13*8760*1000),IF(AE2&gt;Inputs!$Q$44,'Cash Flow'!AD214*(1-AE211),AE213))</f>
        <v>80469152.999986902</v>
      </c>
      <c r="AF214" s="514">
        <f>IF(AF2=Inputs!$Q$44,AF213+(Inputs!$Q$47*Inputs!$G$13*8760*1000),IF(AF2&gt;Inputs!$Q$44,'Cash Flow'!AE214*(1-AF211),AF213))</f>
        <v>78055078.409987286</v>
      </c>
      <c r="AG214" s="514">
        <f>IF(AG2=Inputs!$Q$44,AG213+(Inputs!$Q$47*Inputs!$G$13*8760*1000),IF(AG2&gt;Inputs!$Q$44,'Cash Flow'!AF214*(1-AG211),AG213))</f>
        <v>75713426.05768767</v>
      </c>
      <c r="AH214" s="514">
        <f>IF(AH2=Inputs!$Q$44,AH213+(Inputs!$Q$47*Inputs!$G$13*8760*1000),IF(AH2&gt;Inputs!$Q$44,'Cash Flow'!AG214*(1-AH211),AH213))</f>
        <v>73442023.275957033</v>
      </c>
      <c r="AI214" s="514">
        <f>IF(AI2=Inputs!$Q$44,AI213+(Inputs!$Q$47*Inputs!$G$13*8760*1000),IF(AI2&gt;Inputs!$Q$44,'Cash Flow'!AH214*(1-AI211),AI213))</f>
        <v>71238762.577678323</v>
      </c>
      <c r="AJ214" s="514">
        <f>IF(AJ2=Inputs!$Q$44,AJ213+(Inputs!$Q$47*Inputs!$G$13*8760*1000),IF(AJ2&gt;Inputs!$Q$44,'Cash Flow'!AI214*(1-AJ211),AJ213))</f>
        <v>69101599.700347975</v>
      </c>
    </row>
    <row r="215" spans="1:36" s="503" customFormat="1" ht="16">
      <c r="A215" s="518"/>
      <c r="B215" s="512"/>
      <c r="C215" s="512"/>
      <c r="D215" s="512"/>
      <c r="F215" s="504"/>
      <c r="G215" s="512"/>
      <c r="H215" s="512"/>
      <c r="I215" s="512"/>
      <c r="J215" s="512"/>
      <c r="K215" s="512"/>
      <c r="L215" s="512"/>
      <c r="M215" s="512"/>
      <c r="N215" s="512"/>
      <c r="O215" s="512"/>
      <c r="P215" s="512"/>
      <c r="Q215" s="512"/>
      <c r="R215" s="512"/>
      <c r="S215" s="512"/>
      <c r="T215" s="512"/>
      <c r="U215" s="512"/>
      <c r="V215" s="512"/>
      <c r="W215" s="512"/>
      <c r="X215" s="512"/>
      <c r="Y215" s="512"/>
      <c r="Z215" s="512"/>
      <c r="AA215" s="512"/>
      <c r="AB215" s="512"/>
      <c r="AC215" s="512"/>
      <c r="AD215" s="512"/>
      <c r="AE215" s="512"/>
      <c r="AF215" s="512"/>
      <c r="AG215" s="512"/>
      <c r="AH215" s="512"/>
      <c r="AI215" s="512"/>
      <c r="AJ215" s="512"/>
    </row>
    <row r="216" spans="1:36" s="503" customFormat="1" ht="16">
      <c r="A216" s="518"/>
      <c r="B216" s="515" t="s">
        <v>327</v>
      </c>
      <c r="C216" s="515"/>
      <c r="D216" s="515"/>
      <c r="F216" s="504"/>
      <c r="G216" s="512"/>
      <c r="H216" s="512"/>
      <c r="I216" s="512"/>
      <c r="J216" s="512"/>
      <c r="K216" s="512"/>
      <c r="L216" s="512"/>
      <c r="M216" s="512"/>
      <c r="N216" s="512"/>
      <c r="O216" s="512"/>
      <c r="P216" s="512"/>
      <c r="Q216" s="512"/>
      <c r="R216" s="512"/>
      <c r="S216" s="512"/>
      <c r="T216" s="512"/>
      <c r="U216" s="512"/>
      <c r="V216" s="512"/>
      <c r="W216" s="512"/>
      <c r="X216" s="512"/>
      <c r="Y216" s="512"/>
      <c r="Z216" s="512"/>
      <c r="AA216" s="512"/>
      <c r="AB216" s="512"/>
      <c r="AC216" s="512"/>
      <c r="AD216" s="512"/>
      <c r="AE216" s="512"/>
      <c r="AF216" s="512"/>
      <c r="AG216" s="512"/>
      <c r="AH216" s="512"/>
      <c r="AI216" s="512"/>
      <c r="AJ216" s="512"/>
    </row>
    <row r="217" spans="1:36" s="503" customFormat="1" ht="16">
      <c r="A217" s="518"/>
      <c r="B217" s="515" t="s">
        <v>326</v>
      </c>
      <c r="C217" s="515"/>
      <c r="D217" s="515"/>
      <c r="F217" s="504"/>
      <c r="G217" s="511">
        <f>IF(G2=1,0%,IF(Inputs!$G$9="Annual",Inputs!$G$10,VLOOKUP('Cash Flow'!G2,'Complex Inputs'!$F$129:$G$158,2)))</f>
        <v>0</v>
      </c>
      <c r="H217" s="511">
        <f>IF(H2=1,0%,IF(Inputs!$G$9="Annual",Inputs!$G$10,VLOOKUP('Cash Flow'!H2,'Complex Inputs'!$F$129:$G$158,2)))</f>
        <v>5.0000000000000001E-3</v>
      </c>
      <c r="I217" s="511">
        <f>IF(I2=1,0%,IF(Inputs!$G$9="Annual",Inputs!$G$10,VLOOKUP('Cash Flow'!I2,'Complex Inputs'!$F$129:$G$158,2)))</f>
        <v>5.0000000000000001E-3</v>
      </c>
      <c r="J217" s="511">
        <f>IF(J2=1,0%,IF(Inputs!$G$9="Annual",Inputs!$G$10,VLOOKUP('Cash Flow'!J2,'Complex Inputs'!$F$129:$G$158,2)))</f>
        <v>5.0000000000000001E-3</v>
      </c>
      <c r="K217" s="511">
        <f>IF(K2=1,0%,IF(Inputs!$G$9="Annual",Inputs!$G$10,VLOOKUP('Cash Flow'!K2,'Complex Inputs'!$F$129:$G$158,2)))</f>
        <v>5.0000000000000001E-3</v>
      </c>
      <c r="L217" s="511">
        <f>IF(L2=1,0%,IF(Inputs!$G$9="Annual",Inputs!$G$10,VLOOKUP('Cash Flow'!L2,'Complex Inputs'!$F$129:$G$158,2)))</f>
        <v>5.0000000000000001E-3</v>
      </c>
      <c r="M217" s="511">
        <f>IF(M2=1,0%,IF(Inputs!$G$9="Annual",Inputs!$G$10,VLOOKUP('Cash Flow'!M2,'Complex Inputs'!$F$129:$G$158,2)))</f>
        <v>5.0000000000000001E-3</v>
      </c>
      <c r="N217" s="511">
        <f>IF(N2=1,0%,IF(Inputs!$G$9="Annual",Inputs!$G$10,VLOOKUP('Cash Flow'!N2,'Complex Inputs'!$F$129:$G$158,2)))</f>
        <v>5.0000000000000001E-3</v>
      </c>
      <c r="O217" s="511">
        <f>IF(O2=1,0%,IF(Inputs!$G$9="Annual",Inputs!$G$10,VLOOKUP('Cash Flow'!O2,'Complex Inputs'!$F$129:$G$158,2)))</f>
        <v>5.0000000000000001E-3</v>
      </c>
      <c r="P217" s="511">
        <f>IF(P2=1,0%,IF(Inputs!$G$9="Annual",Inputs!$G$10,VLOOKUP('Cash Flow'!P2,'Complex Inputs'!$F$129:$G$158,2)))</f>
        <v>5.0000000000000001E-3</v>
      </c>
      <c r="Q217" s="511">
        <f>IF(Q2=1,0%,IF(Inputs!$G$9="Annual",Inputs!$G$10,VLOOKUP('Cash Flow'!Q2,'Complex Inputs'!$F$129:$G$158,2)))</f>
        <v>5.0000000000000001E-3</v>
      </c>
      <c r="R217" s="511">
        <f>IF(R2=1,0%,IF(Inputs!$G$9="Annual",Inputs!$G$10,VLOOKUP('Cash Flow'!R2,'Complex Inputs'!$F$129:$G$158,2)))</f>
        <v>5.0000000000000001E-3</v>
      </c>
      <c r="S217" s="511">
        <f>IF(S2=1,0%,IF(Inputs!$G$9="Annual",Inputs!$G$10,VLOOKUP('Cash Flow'!S2,'Complex Inputs'!$F$129:$G$158,2)))</f>
        <v>5.0000000000000001E-3</v>
      </c>
      <c r="T217" s="511">
        <f>IF(T2=1,0%,IF(Inputs!$G$9="Annual",Inputs!$G$10,VLOOKUP('Cash Flow'!T2,'Complex Inputs'!$F$129:$G$158,2)))</f>
        <v>5.0000000000000001E-3</v>
      </c>
      <c r="U217" s="511">
        <f>IF(U2=1,0%,IF(Inputs!$G$9="Annual",Inputs!$G$10,VLOOKUP('Cash Flow'!U2,'Complex Inputs'!$F$129:$G$158,2)))</f>
        <v>5.0000000000000001E-3</v>
      </c>
      <c r="V217" s="511">
        <f>IF(V2=1,0%,IF(Inputs!$G$9="Annual",Inputs!$G$10,VLOOKUP('Cash Flow'!V2,'Complex Inputs'!$F$129:$G$158,2)))</f>
        <v>5.0000000000000001E-3</v>
      </c>
      <c r="W217" s="511">
        <f>IF(W2=1,0%,IF(Inputs!$G$9="Annual",Inputs!$G$10,VLOOKUP('Cash Flow'!W2,'Complex Inputs'!$F$129:$G$158,2)))</f>
        <v>5.0000000000000001E-3</v>
      </c>
      <c r="X217" s="511">
        <f>IF(X2=1,0%,IF(Inputs!$G$9="Annual",Inputs!$G$10,VLOOKUP('Cash Flow'!X2,'Complex Inputs'!$F$129:$G$158,2)))</f>
        <v>5.0000000000000001E-3</v>
      </c>
      <c r="Y217" s="511">
        <f>IF(Y2=1,0%,IF(Inputs!$G$9="Annual",Inputs!$G$10,VLOOKUP('Cash Flow'!Y2,'Complex Inputs'!$F$129:$G$158,2)))</f>
        <v>5.0000000000000001E-3</v>
      </c>
      <c r="Z217" s="511">
        <f>IF(Z2=1,0%,IF(Inputs!$G$9="Annual",Inputs!$G$10,VLOOKUP('Cash Flow'!Z2,'Complex Inputs'!$F$129:$G$158,2)))</f>
        <v>5.0000000000000001E-3</v>
      </c>
      <c r="AA217" s="511">
        <f>IF(AA2=1,0%,IF(Inputs!$G$9="Annual",Inputs!$G$10,VLOOKUP('Cash Flow'!AA2,'Complex Inputs'!$F$129:$G$158,2)))</f>
        <v>5.0000000000000001E-3</v>
      </c>
      <c r="AB217" s="511">
        <f>IF(AB2=1,0%,IF(Inputs!$G$9="Annual",Inputs!$G$10,VLOOKUP('Cash Flow'!AB2,'Complex Inputs'!$F$129:$G$158,2)))</f>
        <v>5.0000000000000001E-3</v>
      </c>
      <c r="AC217" s="511">
        <f>IF(AC2=1,0%,IF(Inputs!$G$9="Annual",Inputs!$G$10,VLOOKUP('Cash Flow'!AC2,'Complex Inputs'!$F$129:$G$158,2)))</f>
        <v>5.0000000000000001E-3</v>
      </c>
      <c r="AD217" s="511">
        <f>IF(AD2=1,0%,IF(Inputs!$G$9="Annual",Inputs!$G$10,VLOOKUP('Cash Flow'!AD2,'Complex Inputs'!$F$129:$G$158,2)))</f>
        <v>5.0000000000000001E-3</v>
      </c>
      <c r="AE217" s="511">
        <f>IF(AE2=1,0%,IF(Inputs!$G$9="Annual",Inputs!$G$10,VLOOKUP('Cash Flow'!AE2,'Complex Inputs'!$F$129:$G$158,2)))</f>
        <v>5.0000000000000001E-3</v>
      </c>
      <c r="AF217" s="511">
        <f>IF(AF2=1,0%,IF(Inputs!$G$9="Annual",Inputs!$G$10,VLOOKUP('Cash Flow'!AF2,'Complex Inputs'!$F$129:$G$158,2)))</f>
        <v>5.0000000000000001E-3</v>
      </c>
      <c r="AG217" s="511">
        <f>IF(AG2=1,0%,IF(Inputs!$G$9="Annual",Inputs!$G$10,VLOOKUP('Cash Flow'!AG2,'Complex Inputs'!$F$129:$G$158,2)))</f>
        <v>5.0000000000000001E-3</v>
      </c>
      <c r="AH217" s="511">
        <f>IF(AH2=1,0%,IF(Inputs!$G$9="Annual",Inputs!$G$10,VLOOKUP('Cash Flow'!AH2,'Complex Inputs'!$F$129:$G$158,2)))</f>
        <v>5.0000000000000001E-3</v>
      </c>
      <c r="AI217" s="511">
        <f>IF(AI2=1,0%,IF(Inputs!$G$9="Annual",Inputs!$G$10,VLOOKUP('Cash Flow'!AI2,'Complex Inputs'!$F$129:$G$158,2)))</f>
        <v>5.0000000000000001E-3</v>
      </c>
      <c r="AJ217" s="511">
        <f>IF(AJ2=1,0%,IF(Inputs!$G$9="Annual",Inputs!$G$10,VLOOKUP('Cash Flow'!AJ2,'Complex Inputs'!$F$129:$G$158,2)))</f>
        <v>5.0000000000000001E-3</v>
      </c>
    </row>
    <row r="218" spans="1:36" s="503" customFormat="1" ht="16">
      <c r="A218" s="518"/>
      <c r="B218" s="512" t="s">
        <v>325</v>
      </c>
      <c r="C218" s="512"/>
      <c r="D218" s="512"/>
      <c r="F218" s="504"/>
      <c r="G218" s="516">
        <f>Inputs!$G$7</f>
        <v>0.85499999999999998</v>
      </c>
      <c r="H218" s="516">
        <f>G218*(1-H217)</f>
        <v>0.85072499999999995</v>
      </c>
      <c r="I218" s="516">
        <f t="shared" ref="I218:AJ218" si="113">H218*(1-I217)</f>
        <v>0.84647137499999991</v>
      </c>
      <c r="J218" s="516">
        <f t="shared" si="113"/>
        <v>0.84223901812499991</v>
      </c>
      <c r="K218" s="516">
        <f t="shared" si="113"/>
        <v>0.83802782303437495</v>
      </c>
      <c r="L218" s="516">
        <f t="shared" si="113"/>
        <v>0.8338376839192031</v>
      </c>
      <c r="M218" s="516">
        <f t="shared" si="113"/>
        <v>0.82966849549960708</v>
      </c>
      <c r="N218" s="516">
        <f t="shared" si="113"/>
        <v>0.82552015302210902</v>
      </c>
      <c r="O218" s="516">
        <f t="shared" si="113"/>
        <v>0.82139255225699848</v>
      </c>
      <c r="P218" s="516">
        <f t="shared" si="113"/>
        <v>0.8172855894957135</v>
      </c>
      <c r="Q218" s="516">
        <f t="shared" si="113"/>
        <v>0.81319916154823491</v>
      </c>
      <c r="R218" s="516">
        <f t="shared" si="113"/>
        <v>0.80913316574049376</v>
      </c>
      <c r="S218" s="516">
        <f t="shared" si="113"/>
        <v>0.80508749991179129</v>
      </c>
      <c r="T218" s="516">
        <f t="shared" si="113"/>
        <v>0.80106206241223232</v>
      </c>
      <c r="U218" s="516">
        <f t="shared" si="113"/>
        <v>0.79705675210017113</v>
      </c>
      <c r="V218" s="516">
        <f t="shared" si="113"/>
        <v>0.79307146833967024</v>
      </c>
      <c r="W218" s="516">
        <f t="shared" si="113"/>
        <v>0.7891061109979719</v>
      </c>
      <c r="X218" s="516">
        <f t="shared" si="113"/>
        <v>0.78516058044298198</v>
      </c>
      <c r="Y218" s="516">
        <f t="shared" si="113"/>
        <v>0.78123477754076709</v>
      </c>
      <c r="Z218" s="516">
        <f t="shared" si="113"/>
        <v>0.77732860365306322</v>
      </c>
      <c r="AA218" s="516">
        <f t="shared" si="113"/>
        <v>0.77344196063479786</v>
      </c>
      <c r="AB218" s="516">
        <f t="shared" si="113"/>
        <v>0.76957475083162385</v>
      </c>
      <c r="AC218" s="516">
        <f t="shared" si="113"/>
        <v>0.76572687707746578</v>
      </c>
      <c r="AD218" s="516">
        <f t="shared" si="113"/>
        <v>0.7618982426920784</v>
      </c>
      <c r="AE218" s="516">
        <f t="shared" si="113"/>
        <v>0.75808875147861798</v>
      </c>
      <c r="AF218" s="516">
        <f t="shared" si="113"/>
        <v>0.75429830772122486</v>
      </c>
      <c r="AG218" s="516">
        <f t="shared" si="113"/>
        <v>0.75052681618261874</v>
      </c>
      <c r="AH218" s="516">
        <f t="shared" si="113"/>
        <v>0.74677418210170565</v>
      </c>
      <c r="AI218" s="516">
        <f t="shared" si="113"/>
        <v>0.74304031119119707</v>
      </c>
      <c r="AJ218" s="516">
        <f t="shared" si="113"/>
        <v>0.73932510963524112</v>
      </c>
    </row>
    <row r="219" spans="1:36" s="503" customFormat="1" ht="16">
      <c r="A219" s="518"/>
      <c r="B219" s="512" t="s">
        <v>431</v>
      </c>
      <c r="C219" s="512"/>
      <c r="D219" s="512"/>
      <c r="F219" s="504"/>
      <c r="G219" s="517">
        <f>Inputs!$G$6*1000*8760*G218</f>
        <v>112347000</v>
      </c>
      <c r="H219" s="517">
        <f>Inputs!$G$6*1000*8760*H218</f>
        <v>111785265</v>
      </c>
      <c r="I219" s="517">
        <f>Inputs!$G$6*1000*8760*I218</f>
        <v>111226338.67499998</v>
      </c>
      <c r="J219" s="517">
        <f>Inputs!$G$6*1000*8760*J218</f>
        <v>110670206.98162499</v>
      </c>
      <c r="K219" s="517">
        <f>Inputs!$G$6*1000*8760*K218</f>
        <v>110116855.94671687</v>
      </c>
      <c r="L219" s="517">
        <f>Inputs!$G$6*1000*8760*L218</f>
        <v>109566271.66698329</v>
      </c>
      <c r="M219" s="517">
        <f>Inputs!$G$6*1000*8760*M218</f>
        <v>109018440.30864838</v>
      </c>
      <c r="N219" s="517">
        <f>Inputs!$G$6*1000*8760*N218</f>
        <v>108473348.10710512</v>
      </c>
      <c r="O219" s="517">
        <f>Inputs!$G$6*1000*8760*O218</f>
        <v>107930981.36656959</v>
      </c>
      <c r="P219" s="517">
        <f>Inputs!$G$6*1000*8760*P218</f>
        <v>107391326.45973675</v>
      </c>
      <c r="Q219" s="517">
        <f>Inputs!$G$6*1000*8760*Q218</f>
        <v>106854369.82743807</v>
      </c>
      <c r="R219" s="517">
        <f>Inputs!$G$6*1000*8760*R218</f>
        <v>106320097.97830088</v>
      </c>
      <c r="S219" s="517">
        <f>Inputs!$G$6*1000*8760*S218</f>
        <v>105788497.48840937</v>
      </c>
      <c r="T219" s="517">
        <f>Inputs!$G$6*1000*8760*T218</f>
        <v>105259555.00096732</v>
      </c>
      <c r="U219" s="517">
        <f>Inputs!$G$6*1000*8760*U218</f>
        <v>104733257.22596249</v>
      </c>
      <c r="V219" s="517">
        <f>Inputs!$G$6*1000*8760*V218</f>
        <v>104209590.93983267</v>
      </c>
      <c r="W219" s="517">
        <f>Inputs!$G$6*1000*8760*W218</f>
        <v>103688542.98513351</v>
      </c>
      <c r="X219" s="517">
        <f>Inputs!$G$6*1000*8760*X218</f>
        <v>103170100.27020784</v>
      </c>
      <c r="Y219" s="517">
        <f>Inputs!$G$6*1000*8760*Y218</f>
        <v>102654249.76885679</v>
      </c>
      <c r="Z219" s="517">
        <f>Inputs!$G$6*1000*8760*Z218</f>
        <v>102140978.52001251</v>
      </c>
      <c r="AA219" s="517">
        <f>Inputs!$G$6*1000*8760*AA218</f>
        <v>101630273.62741244</v>
      </c>
      <c r="AB219" s="517">
        <f>Inputs!$G$6*1000*8760*AB218</f>
        <v>101122122.25927538</v>
      </c>
      <c r="AC219" s="517">
        <f>Inputs!$G$6*1000*8760*AC218</f>
        <v>100616511.64797901</v>
      </c>
      <c r="AD219" s="517">
        <f>Inputs!$G$6*1000*8760*AD218</f>
        <v>100113429.0897391</v>
      </c>
      <c r="AE219" s="517">
        <f>Inputs!$G$6*1000*8760*AE218</f>
        <v>99612861.9442904</v>
      </c>
      <c r="AF219" s="517">
        <f>Inputs!$G$6*1000*8760*AF218</f>
        <v>99114797.634568945</v>
      </c>
      <c r="AG219" s="517">
        <f>Inputs!$G$6*1000*8760*AG218</f>
        <v>98619223.646396101</v>
      </c>
      <c r="AH219" s="517">
        <f>Inputs!$G$6*1000*8760*AH218</f>
        <v>98126127.528164119</v>
      </c>
      <c r="AI219" s="517">
        <f>Inputs!$G$6*1000*8760*AI218</f>
        <v>97635496.8905233</v>
      </c>
      <c r="AJ219" s="517">
        <f>Inputs!$G$6*1000*8760*AJ218</f>
        <v>97147319.406070679</v>
      </c>
    </row>
    <row r="220" spans="1:36" s="503" customFormat="1" ht="16">
      <c r="A220" s="518"/>
      <c r="B220" s="515" t="s">
        <v>432</v>
      </c>
      <c r="C220" s="515"/>
      <c r="D220" s="515"/>
      <c r="F220" s="504"/>
      <c r="G220" s="514">
        <f t="shared" ref="G220:AJ220" si="114">IF(G214&gt;G219,G219,G214)</f>
        <v>112347000</v>
      </c>
      <c r="H220" s="514">
        <f t="shared" si="114"/>
        <v>111785265</v>
      </c>
      <c r="I220" s="514">
        <f t="shared" si="114"/>
        <v>111226338.67499998</v>
      </c>
      <c r="J220" s="514">
        <f t="shared" si="114"/>
        <v>110670206.98162499</v>
      </c>
      <c r="K220" s="514">
        <f t="shared" si="114"/>
        <v>110116855.94671687</v>
      </c>
      <c r="L220" s="514">
        <f t="shared" si="114"/>
        <v>109566271.66698329</v>
      </c>
      <c r="M220" s="514">
        <f t="shared" si="114"/>
        <v>109018440.30864838</v>
      </c>
      <c r="N220" s="514">
        <f t="shared" si="114"/>
        <v>108473348.10710512</v>
      </c>
      <c r="O220" s="514">
        <f t="shared" si="114"/>
        <v>107930981.36656959</v>
      </c>
      <c r="P220" s="514">
        <f t="shared" si="114"/>
        <v>107391326.45973675</v>
      </c>
      <c r="Q220" s="514">
        <f t="shared" si="114"/>
        <v>106854369.82743807</v>
      </c>
      <c r="R220" s="514">
        <f t="shared" si="114"/>
        <v>105444544.59555131</v>
      </c>
      <c r="S220" s="514">
        <f t="shared" si="114"/>
        <v>102281208.25768477</v>
      </c>
      <c r="T220" s="514">
        <f t="shared" si="114"/>
        <v>99212772.009954214</v>
      </c>
      <c r="U220" s="514">
        <f t="shared" si="114"/>
        <v>96236388.849655584</v>
      </c>
      <c r="V220" s="514">
        <f t="shared" si="114"/>
        <v>93349297.18416591</v>
      </c>
      <c r="W220" s="514">
        <f t="shared" si="114"/>
        <v>90548818.268640935</v>
      </c>
      <c r="X220" s="514">
        <f t="shared" si="114"/>
        <v>87832353.72058171</v>
      </c>
      <c r="Y220" s="514">
        <f t="shared" si="114"/>
        <v>85197383.108964249</v>
      </c>
      <c r="Z220" s="514">
        <f t="shared" si="114"/>
        <v>93706724.773590058</v>
      </c>
      <c r="AA220" s="514">
        <f t="shared" si="114"/>
        <v>90895523.03038235</v>
      </c>
      <c r="AB220" s="514">
        <f t="shared" si="114"/>
        <v>88168657.339470878</v>
      </c>
      <c r="AC220" s="514">
        <f t="shared" si="114"/>
        <v>85523597.619286746</v>
      </c>
      <c r="AD220" s="514">
        <f t="shared" si="114"/>
        <v>82957889.690708145</v>
      </c>
      <c r="AE220" s="514">
        <f t="shared" si="114"/>
        <v>80469152.999986902</v>
      </c>
      <c r="AF220" s="514">
        <f t="shared" si="114"/>
        <v>78055078.409987286</v>
      </c>
      <c r="AG220" s="514">
        <f t="shared" si="114"/>
        <v>75713426.05768767</v>
      </c>
      <c r="AH220" s="514">
        <f t="shared" si="114"/>
        <v>73442023.275957033</v>
      </c>
      <c r="AI220" s="514">
        <f t="shared" si="114"/>
        <v>71238762.577678323</v>
      </c>
      <c r="AJ220" s="514">
        <f t="shared" si="114"/>
        <v>69101599.700347975</v>
      </c>
    </row>
    <row r="221" spans="1:36" s="509" customFormat="1" ht="16">
      <c r="B221" s="268"/>
      <c r="C221" s="268"/>
      <c r="D221" s="268"/>
      <c r="E221" s="503"/>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row>
    <row r="222" spans="1:36" s="509" customFormat="1" ht="16">
      <c r="B222" s="268"/>
      <c r="C222" s="268"/>
      <c r="D222" s="268"/>
      <c r="E222" s="503"/>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4"/>
      <c r="AD222" s="504"/>
      <c r="AE222" s="504"/>
      <c r="AF222" s="504"/>
      <c r="AG222" s="504"/>
      <c r="AH222" s="504"/>
      <c r="AI222" s="504"/>
      <c r="AJ222" s="504"/>
    </row>
    <row r="223" spans="1:36" s="509" customFormat="1" ht="16">
      <c r="B223" s="268"/>
      <c r="C223" s="268"/>
      <c r="D223" s="268"/>
      <c r="E223" s="503"/>
      <c r="F223" s="504"/>
      <c r="G223" s="504"/>
      <c r="H223" s="504"/>
      <c r="I223" s="504"/>
      <c r="J223" s="504"/>
      <c r="K223" s="504"/>
      <c r="L223" s="504"/>
      <c r="M223" s="504"/>
      <c r="N223" s="504"/>
      <c r="O223" s="504"/>
      <c r="P223" s="504"/>
      <c r="Q223" s="504"/>
      <c r="R223" s="504"/>
      <c r="S223" s="504"/>
      <c r="T223" s="504"/>
      <c r="U223" s="504"/>
      <c r="V223" s="504"/>
      <c r="W223" s="504"/>
      <c r="X223" s="504"/>
      <c r="Y223" s="504"/>
      <c r="Z223" s="504"/>
      <c r="AA223" s="504"/>
      <c r="AB223" s="504"/>
      <c r="AC223" s="504"/>
      <c r="AD223" s="504"/>
      <c r="AE223" s="504"/>
      <c r="AF223" s="504"/>
      <c r="AG223" s="504"/>
      <c r="AH223" s="504"/>
      <c r="AI223" s="504"/>
      <c r="AJ223" s="504"/>
    </row>
    <row r="224" spans="1:36" s="509" customFormat="1" ht="16">
      <c r="B224" s="268"/>
      <c r="C224" s="268"/>
      <c r="D224" s="268"/>
      <c r="E224" s="503"/>
      <c r="F224" s="504"/>
      <c r="G224" s="504"/>
      <c r="H224" s="504"/>
      <c r="I224" s="504"/>
      <c r="J224" s="504"/>
      <c r="K224" s="504"/>
      <c r="L224" s="504"/>
      <c r="M224" s="504"/>
      <c r="N224" s="504"/>
      <c r="O224" s="504"/>
      <c r="P224" s="504"/>
      <c r="Q224" s="504"/>
      <c r="R224" s="504"/>
      <c r="S224" s="504"/>
      <c r="T224" s="504"/>
      <c r="U224" s="504"/>
      <c r="V224" s="504"/>
      <c r="W224" s="504"/>
      <c r="X224" s="504"/>
      <c r="Y224" s="504"/>
      <c r="Z224" s="504"/>
      <c r="AA224" s="504"/>
      <c r="AB224" s="504"/>
      <c r="AC224" s="504"/>
      <c r="AD224" s="504"/>
      <c r="AE224" s="504"/>
      <c r="AF224" s="504"/>
      <c r="AG224" s="504"/>
      <c r="AH224" s="504"/>
      <c r="AI224" s="504"/>
      <c r="AJ224" s="504"/>
    </row>
    <row r="225" spans="2:36" s="509" customFormat="1" ht="16">
      <c r="B225" s="268"/>
      <c r="C225" s="268"/>
      <c r="D225" s="268"/>
      <c r="E225" s="503"/>
      <c r="F225" s="504"/>
      <c r="G225" s="504"/>
      <c r="H225" s="504"/>
      <c r="I225" s="504"/>
      <c r="J225" s="504"/>
      <c r="K225" s="504"/>
      <c r="L225" s="504"/>
      <c r="M225" s="504"/>
      <c r="N225" s="504"/>
      <c r="O225" s="504"/>
      <c r="P225" s="504"/>
      <c r="Q225" s="504"/>
      <c r="R225" s="504"/>
      <c r="S225" s="504"/>
      <c r="T225" s="504"/>
      <c r="U225" s="504"/>
      <c r="V225" s="504"/>
      <c r="W225" s="504"/>
      <c r="X225" s="504"/>
      <c r="Y225" s="504"/>
      <c r="Z225" s="504"/>
      <c r="AA225" s="504"/>
      <c r="AB225" s="504"/>
      <c r="AC225" s="504"/>
      <c r="AD225" s="504"/>
      <c r="AE225" s="504"/>
      <c r="AF225" s="504"/>
      <c r="AG225" s="504"/>
      <c r="AH225" s="504"/>
      <c r="AI225" s="504"/>
      <c r="AJ225" s="504"/>
    </row>
    <row r="226" spans="2:36" s="509" customFormat="1" ht="16">
      <c r="B226" s="268"/>
      <c r="C226" s="268"/>
      <c r="D226" s="268"/>
      <c r="E226" s="503"/>
      <c r="F226" s="504"/>
      <c r="G226" s="504"/>
      <c r="H226" s="504"/>
      <c r="I226" s="504"/>
      <c r="J226" s="504"/>
      <c r="K226" s="504"/>
      <c r="L226" s="504"/>
      <c r="M226" s="504"/>
      <c r="N226" s="504"/>
      <c r="O226" s="504"/>
      <c r="P226" s="504"/>
      <c r="Q226" s="504"/>
      <c r="R226" s="504"/>
      <c r="S226" s="504"/>
      <c r="T226" s="504"/>
      <c r="U226" s="504"/>
      <c r="V226" s="504"/>
      <c r="W226" s="504"/>
      <c r="X226" s="504"/>
      <c r="Y226" s="504"/>
      <c r="Z226" s="504"/>
      <c r="AA226" s="504"/>
      <c r="AB226" s="504"/>
      <c r="AC226" s="504"/>
      <c r="AD226" s="504"/>
      <c r="AE226" s="504"/>
      <c r="AF226" s="504"/>
      <c r="AG226" s="504"/>
      <c r="AH226" s="504"/>
      <c r="AI226" s="504"/>
      <c r="AJ226" s="504"/>
    </row>
    <row r="227" spans="2:36" s="509" customFormat="1" ht="16">
      <c r="B227" s="268"/>
      <c r="C227" s="268"/>
      <c r="D227" s="268"/>
      <c r="E227" s="503"/>
      <c r="F227" s="504"/>
      <c r="G227" s="504"/>
      <c r="H227" s="504"/>
      <c r="I227" s="504"/>
      <c r="J227" s="504"/>
      <c r="K227" s="504"/>
      <c r="L227" s="504"/>
      <c r="M227" s="504"/>
      <c r="N227" s="504"/>
      <c r="O227" s="504"/>
      <c r="P227" s="504"/>
      <c r="Q227" s="504"/>
      <c r="R227" s="504"/>
      <c r="S227" s="504"/>
      <c r="T227" s="504"/>
      <c r="U227" s="504"/>
      <c r="V227" s="504"/>
      <c r="W227" s="504"/>
      <c r="X227" s="504"/>
      <c r="Y227" s="504"/>
      <c r="Z227" s="504"/>
      <c r="AA227" s="504"/>
      <c r="AB227" s="504"/>
      <c r="AC227" s="504"/>
      <c r="AD227" s="504"/>
      <c r="AE227" s="504"/>
      <c r="AF227" s="504"/>
      <c r="AG227" s="504"/>
      <c r="AH227" s="504"/>
      <c r="AI227" s="504"/>
      <c r="AJ227" s="504"/>
    </row>
    <row r="228" spans="2:36" s="509" customFormat="1" ht="16">
      <c r="B228" s="268"/>
      <c r="C228" s="268"/>
      <c r="D228" s="268"/>
      <c r="E228" s="503"/>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row>
    <row r="229" spans="2:36" s="509" customFormat="1" ht="16">
      <c r="B229" s="268"/>
      <c r="C229" s="268"/>
      <c r="D229" s="268"/>
      <c r="E229" s="503"/>
      <c r="F229" s="504"/>
      <c r="G229" s="504"/>
      <c r="H229" s="504"/>
      <c r="I229" s="504"/>
      <c r="J229" s="504"/>
      <c r="K229" s="504"/>
      <c r="L229" s="504"/>
      <c r="M229" s="504"/>
      <c r="N229" s="504"/>
      <c r="O229" s="504"/>
      <c r="P229" s="504"/>
      <c r="Q229" s="504"/>
      <c r="R229" s="504"/>
      <c r="S229" s="504"/>
      <c r="T229" s="504"/>
      <c r="U229" s="504"/>
      <c r="V229" s="504"/>
      <c r="W229" s="504"/>
      <c r="X229" s="504"/>
      <c r="Y229" s="504"/>
      <c r="Z229" s="504"/>
      <c r="AA229" s="504"/>
      <c r="AB229" s="504"/>
      <c r="AC229" s="504"/>
      <c r="AD229" s="504"/>
      <c r="AE229" s="504"/>
      <c r="AF229" s="504"/>
      <c r="AG229" s="504"/>
      <c r="AH229" s="504"/>
      <c r="AI229" s="504"/>
      <c r="AJ229" s="504"/>
    </row>
    <row r="230" spans="2:36" s="509" customFormat="1" ht="16">
      <c r="B230" s="268"/>
      <c r="C230" s="268"/>
      <c r="D230" s="268"/>
      <c r="E230" s="503"/>
      <c r="F230" s="504"/>
      <c r="G230" s="504"/>
      <c r="H230" s="504"/>
      <c r="I230" s="504"/>
      <c r="J230" s="504"/>
      <c r="K230" s="504"/>
      <c r="L230" s="504"/>
      <c r="M230" s="504"/>
      <c r="N230" s="504"/>
      <c r="O230" s="504"/>
      <c r="P230" s="504"/>
      <c r="Q230" s="504"/>
      <c r="R230" s="504"/>
      <c r="S230" s="504"/>
      <c r="T230" s="504"/>
      <c r="U230" s="504"/>
      <c r="V230" s="504"/>
      <c r="W230" s="504"/>
      <c r="X230" s="504"/>
      <c r="Y230" s="504"/>
      <c r="Z230" s="504"/>
      <c r="AA230" s="504"/>
      <c r="AB230" s="504"/>
      <c r="AC230" s="504"/>
      <c r="AD230" s="504"/>
      <c r="AE230" s="504"/>
      <c r="AF230" s="504"/>
      <c r="AG230" s="504"/>
      <c r="AH230" s="504"/>
      <c r="AI230" s="504"/>
      <c r="AJ230" s="504"/>
    </row>
    <row r="231" spans="2:36" s="509" customFormat="1" ht="16">
      <c r="B231" s="268"/>
      <c r="C231" s="268"/>
      <c r="D231" s="268"/>
      <c r="E231" s="503"/>
      <c r="F231" s="504"/>
      <c r="G231" s="504"/>
      <c r="H231" s="504"/>
      <c r="I231" s="504"/>
      <c r="J231" s="504"/>
      <c r="K231" s="504"/>
      <c r="L231" s="504"/>
      <c r="M231" s="504"/>
      <c r="N231" s="504"/>
      <c r="O231" s="504"/>
      <c r="P231" s="504"/>
      <c r="Q231" s="504"/>
      <c r="R231" s="504"/>
      <c r="S231" s="504"/>
      <c r="T231" s="504"/>
      <c r="U231" s="504"/>
      <c r="V231" s="504"/>
      <c r="W231" s="504"/>
      <c r="X231" s="504"/>
      <c r="Y231" s="504"/>
      <c r="Z231" s="504"/>
      <c r="AA231" s="504"/>
      <c r="AB231" s="504"/>
      <c r="AC231" s="504"/>
      <c r="AD231" s="504"/>
      <c r="AE231" s="504"/>
      <c r="AF231" s="504"/>
      <c r="AG231" s="504"/>
      <c r="AH231" s="504"/>
      <c r="AI231" s="504"/>
      <c r="AJ231" s="504"/>
    </row>
    <row r="232" spans="2:36" s="509" customFormat="1" ht="16">
      <c r="B232" s="268"/>
      <c r="C232" s="268"/>
      <c r="D232" s="268"/>
      <c r="E232" s="503"/>
      <c r="F232" s="504"/>
      <c r="G232" s="504"/>
      <c r="H232" s="504"/>
      <c r="I232" s="504"/>
      <c r="J232" s="504"/>
      <c r="K232" s="504"/>
      <c r="L232" s="504"/>
      <c r="M232" s="504"/>
      <c r="N232" s="504"/>
      <c r="O232" s="504"/>
      <c r="P232" s="504"/>
      <c r="Q232" s="504"/>
      <c r="R232" s="504"/>
      <c r="S232" s="504"/>
      <c r="T232" s="504"/>
      <c r="U232" s="504"/>
      <c r="V232" s="504"/>
      <c r="W232" s="504"/>
      <c r="X232" s="504"/>
      <c r="Y232" s="504"/>
      <c r="Z232" s="504"/>
      <c r="AA232" s="504"/>
      <c r="AB232" s="504"/>
      <c r="AC232" s="504"/>
      <c r="AD232" s="504"/>
      <c r="AE232" s="504"/>
      <c r="AF232" s="504"/>
      <c r="AG232" s="504"/>
      <c r="AH232" s="504"/>
      <c r="AI232" s="504"/>
      <c r="AJ232" s="504"/>
    </row>
    <row r="233" spans="2:36" s="509" customFormat="1" ht="16">
      <c r="B233" s="268"/>
      <c r="C233" s="268"/>
      <c r="D233" s="268"/>
      <c r="E233" s="503"/>
      <c r="F233" s="504"/>
      <c r="G233" s="504"/>
      <c r="H233" s="504"/>
      <c r="I233" s="504"/>
      <c r="J233" s="504"/>
      <c r="K233" s="504"/>
      <c r="L233" s="504"/>
      <c r="M233" s="504"/>
      <c r="N233" s="504"/>
      <c r="O233" s="504"/>
      <c r="P233" s="504"/>
      <c r="Q233" s="504"/>
      <c r="R233" s="504"/>
      <c r="S233" s="504"/>
      <c r="T233" s="504"/>
      <c r="U233" s="504"/>
      <c r="V233" s="504"/>
      <c r="W233" s="504"/>
      <c r="X233" s="504"/>
      <c r="Y233" s="504"/>
      <c r="Z233" s="504"/>
      <c r="AA233" s="504"/>
      <c r="AB233" s="504"/>
      <c r="AC233" s="504"/>
      <c r="AD233" s="504"/>
      <c r="AE233" s="504"/>
      <c r="AF233" s="504"/>
      <c r="AG233" s="504"/>
      <c r="AH233" s="504"/>
      <c r="AI233" s="504"/>
      <c r="AJ233" s="504"/>
    </row>
    <row r="234" spans="2:36" s="509" customFormat="1" ht="16">
      <c r="B234" s="268"/>
      <c r="C234" s="268"/>
      <c r="D234" s="268"/>
      <c r="E234" s="503"/>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4"/>
      <c r="AD234" s="504"/>
      <c r="AE234" s="504"/>
      <c r="AF234" s="504"/>
      <c r="AG234" s="504"/>
      <c r="AH234" s="504"/>
      <c r="AI234" s="504"/>
      <c r="AJ234" s="504"/>
    </row>
    <row r="235" spans="2:36" s="509" customFormat="1" ht="16">
      <c r="B235" s="268"/>
      <c r="C235" s="268"/>
      <c r="D235" s="268"/>
      <c r="E235" s="503"/>
      <c r="F235" s="504"/>
      <c r="G235" s="504"/>
      <c r="H235" s="504"/>
      <c r="I235" s="504"/>
      <c r="J235" s="504"/>
      <c r="K235" s="504"/>
      <c r="L235" s="504"/>
      <c r="M235" s="504"/>
      <c r="N235" s="504"/>
      <c r="O235" s="504"/>
      <c r="P235" s="504"/>
      <c r="Q235" s="504"/>
      <c r="R235" s="504"/>
      <c r="S235" s="504"/>
      <c r="T235" s="504"/>
      <c r="U235" s="504"/>
      <c r="V235" s="504"/>
      <c r="W235" s="504"/>
      <c r="X235" s="504"/>
      <c r="Y235" s="504"/>
      <c r="Z235" s="504"/>
      <c r="AA235" s="504"/>
      <c r="AB235" s="504"/>
      <c r="AC235" s="504"/>
      <c r="AD235" s="504"/>
      <c r="AE235" s="504"/>
      <c r="AF235" s="504"/>
      <c r="AG235" s="504"/>
      <c r="AH235" s="504"/>
      <c r="AI235" s="504"/>
      <c r="AJ235" s="504"/>
    </row>
    <row r="236" spans="2:36" s="509" customFormat="1" ht="16">
      <c r="B236" s="268"/>
      <c r="C236" s="268"/>
      <c r="D236" s="268"/>
      <c r="E236" s="503"/>
      <c r="F236" s="504"/>
      <c r="G236" s="504"/>
      <c r="H236" s="504"/>
      <c r="I236" s="504"/>
      <c r="J236" s="504"/>
      <c r="K236" s="504"/>
      <c r="L236" s="504"/>
      <c r="M236" s="504"/>
      <c r="N236" s="504"/>
      <c r="O236" s="504"/>
      <c r="P236" s="504"/>
      <c r="Q236" s="504"/>
      <c r="R236" s="504"/>
      <c r="S236" s="504"/>
      <c r="T236" s="504"/>
      <c r="U236" s="504"/>
      <c r="V236" s="504"/>
      <c r="W236" s="504"/>
      <c r="X236" s="504"/>
      <c r="Y236" s="504"/>
      <c r="Z236" s="504"/>
      <c r="AA236" s="504"/>
      <c r="AB236" s="504"/>
      <c r="AC236" s="504"/>
      <c r="AD236" s="504"/>
      <c r="AE236" s="504"/>
      <c r="AF236" s="504"/>
      <c r="AG236" s="504"/>
      <c r="AH236" s="504"/>
      <c r="AI236" s="504"/>
      <c r="AJ236" s="504"/>
    </row>
    <row r="237" spans="2:36" s="509" customFormat="1" ht="16">
      <c r="B237" s="268"/>
      <c r="C237" s="268"/>
      <c r="D237" s="268"/>
      <c r="E237" s="503"/>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4"/>
      <c r="AD237" s="504"/>
      <c r="AE237" s="504"/>
      <c r="AF237" s="504"/>
      <c r="AG237" s="504"/>
      <c r="AH237" s="504"/>
      <c r="AI237" s="504"/>
      <c r="AJ237" s="504"/>
    </row>
    <row r="238" spans="2:36" s="509" customFormat="1" ht="16">
      <c r="B238" s="268"/>
      <c r="C238" s="268"/>
      <c r="D238" s="268"/>
      <c r="E238" s="503"/>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row>
    <row r="239" spans="2:36" s="509" customFormat="1" ht="16">
      <c r="B239" s="268"/>
      <c r="C239" s="268"/>
      <c r="D239" s="268"/>
      <c r="E239" s="503"/>
      <c r="F239" s="504"/>
      <c r="G239" s="504"/>
      <c r="H239" s="504"/>
      <c r="I239" s="504"/>
      <c r="J239" s="504"/>
      <c r="K239" s="504"/>
      <c r="L239" s="504"/>
      <c r="M239" s="504"/>
      <c r="N239" s="504"/>
      <c r="O239" s="504"/>
      <c r="P239" s="504"/>
      <c r="Q239" s="504"/>
      <c r="R239" s="504"/>
      <c r="S239" s="504"/>
      <c r="T239" s="504"/>
      <c r="U239" s="504"/>
      <c r="V239" s="504"/>
      <c r="W239" s="504"/>
      <c r="X239" s="504"/>
      <c r="Y239" s="504"/>
      <c r="Z239" s="504"/>
      <c r="AA239" s="504"/>
      <c r="AB239" s="504"/>
      <c r="AC239" s="504"/>
      <c r="AD239" s="504"/>
      <c r="AE239" s="504"/>
      <c r="AF239" s="504"/>
      <c r="AG239" s="504"/>
      <c r="AH239" s="504"/>
      <c r="AI239" s="504"/>
      <c r="AJ239" s="504"/>
    </row>
    <row r="240" spans="2:36" s="509" customFormat="1" ht="16">
      <c r="B240" s="268"/>
      <c r="C240" s="268"/>
      <c r="D240" s="268"/>
      <c r="E240" s="503"/>
      <c r="F240" s="504"/>
      <c r="G240" s="504"/>
      <c r="H240" s="504"/>
      <c r="I240" s="504"/>
      <c r="J240" s="504"/>
      <c r="K240" s="504"/>
      <c r="L240" s="504"/>
      <c r="M240" s="504"/>
      <c r="N240" s="504"/>
      <c r="O240" s="504"/>
      <c r="P240" s="504"/>
      <c r="Q240" s="504"/>
      <c r="R240" s="504"/>
      <c r="S240" s="504"/>
      <c r="T240" s="504"/>
      <c r="U240" s="504"/>
      <c r="V240" s="504"/>
      <c r="W240" s="504"/>
      <c r="X240" s="504"/>
      <c r="Y240" s="504"/>
      <c r="Z240" s="504"/>
      <c r="AA240" s="504"/>
      <c r="AB240" s="504"/>
      <c r="AC240" s="504"/>
      <c r="AD240" s="504"/>
      <c r="AE240" s="504"/>
      <c r="AF240" s="504"/>
      <c r="AG240" s="504"/>
      <c r="AH240" s="504"/>
      <c r="AI240" s="504"/>
      <c r="AJ240" s="504"/>
    </row>
    <row r="241" spans="2:36" s="509" customFormat="1" ht="16">
      <c r="B241" s="268"/>
      <c r="C241" s="268"/>
      <c r="D241" s="268"/>
      <c r="E241" s="503"/>
      <c r="F241" s="504"/>
      <c r="G241" s="504"/>
      <c r="H241" s="504"/>
      <c r="I241" s="504"/>
      <c r="J241" s="504"/>
      <c r="K241" s="504"/>
      <c r="L241" s="504"/>
      <c r="M241" s="504"/>
      <c r="N241" s="504"/>
      <c r="O241" s="504"/>
      <c r="P241" s="504"/>
      <c r="Q241" s="504"/>
      <c r="R241" s="504"/>
      <c r="S241" s="504"/>
      <c r="T241" s="504"/>
      <c r="U241" s="504"/>
      <c r="V241" s="504"/>
      <c r="W241" s="504"/>
      <c r="X241" s="504"/>
      <c r="Y241" s="504"/>
      <c r="Z241" s="504"/>
      <c r="AA241" s="504"/>
      <c r="AB241" s="504"/>
      <c r="AC241" s="504"/>
      <c r="AD241" s="504"/>
      <c r="AE241" s="504"/>
      <c r="AF241" s="504"/>
      <c r="AG241" s="504"/>
      <c r="AH241" s="504"/>
      <c r="AI241" s="504"/>
      <c r="AJ241" s="504"/>
    </row>
    <row r="242" spans="2:36" s="509" customFormat="1" ht="16">
      <c r="B242" s="268"/>
      <c r="C242" s="268"/>
      <c r="D242" s="268"/>
      <c r="E242" s="503"/>
      <c r="F242" s="504"/>
      <c r="G242" s="504"/>
      <c r="H242" s="504"/>
      <c r="I242" s="504"/>
      <c r="J242" s="504"/>
      <c r="K242" s="504"/>
      <c r="L242" s="504"/>
      <c r="M242" s="504"/>
      <c r="N242" s="504"/>
      <c r="O242" s="504"/>
      <c r="P242" s="504"/>
      <c r="Q242" s="504"/>
      <c r="R242" s="504"/>
      <c r="S242" s="504"/>
      <c r="T242" s="504"/>
      <c r="U242" s="504"/>
      <c r="V242" s="504"/>
      <c r="W242" s="504"/>
      <c r="X242" s="504"/>
      <c r="Y242" s="504"/>
      <c r="Z242" s="504"/>
      <c r="AA242" s="504"/>
      <c r="AB242" s="504"/>
      <c r="AC242" s="504"/>
      <c r="AD242" s="504"/>
      <c r="AE242" s="504"/>
      <c r="AF242" s="504"/>
      <c r="AG242" s="504"/>
      <c r="AH242" s="504"/>
      <c r="AI242" s="504"/>
      <c r="AJ242" s="504"/>
    </row>
    <row r="243" spans="2:36" s="509" customFormat="1" ht="16">
      <c r="B243" s="268"/>
      <c r="C243" s="268"/>
      <c r="D243" s="268"/>
      <c r="E243" s="503"/>
      <c r="F243" s="504"/>
      <c r="G243" s="504"/>
      <c r="H243" s="504"/>
      <c r="I243" s="504"/>
      <c r="J243" s="504"/>
      <c r="K243" s="504"/>
      <c r="L243" s="504"/>
      <c r="M243" s="504"/>
      <c r="N243" s="504"/>
      <c r="O243" s="504"/>
      <c r="P243" s="504"/>
      <c r="Q243" s="504"/>
      <c r="R243" s="504"/>
      <c r="S243" s="504"/>
      <c r="T243" s="504"/>
      <c r="U243" s="504"/>
      <c r="V243" s="504"/>
      <c r="W243" s="504"/>
      <c r="X243" s="504"/>
      <c r="Y243" s="504"/>
      <c r="Z243" s="504"/>
      <c r="AA243" s="504"/>
      <c r="AB243" s="504"/>
      <c r="AC243" s="504"/>
      <c r="AD243" s="504"/>
      <c r="AE243" s="504"/>
      <c r="AF243" s="504"/>
      <c r="AG243" s="504"/>
      <c r="AH243" s="504"/>
      <c r="AI243" s="504"/>
      <c r="AJ243" s="504"/>
    </row>
    <row r="244" spans="2:36" s="519" customFormat="1" ht="17" thickBot="1">
      <c r="B244" s="275"/>
      <c r="C244" s="275"/>
      <c r="D244" s="275"/>
      <c r="E244" s="276"/>
      <c r="F244" s="277"/>
      <c r="G244" s="277"/>
      <c r="H244" s="277"/>
      <c r="I244" s="277"/>
      <c r="J244" s="277"/>
      <c r="K244" s="277"/>
      <c r="L244" s="277"/>
      <c r="M244" s="277"/>
      <c r="N244" s="277"/>
      <c r="O244" s="277"/>
      <c r="P244" s="277"/>
      <c r="Q244" s="277"/>
      <c r="R244" s="277"/>
      <c r="S244" s="277"/>
      <c r="T244" s="277"/>
      <c r="U244" s="277"/>
      <c r="V244" s="277"/>
      <c r="W244" s="277"/>
      <c r="X244" s="277"/>
      <c r="Y244" s="277"/>
      <c r="Z244" s="277"/>
      <c r="AA244" s="277"/>
      <c r="AB244" s="277"/>
      <c r="AC244" s="277"/>
      <c r="AD244" s="277"/>
      <c r="AE244" s="277"/>
      <c r="AF244" s="277"/>
      <c r="AG244" s="277"/>
      <c r="AH244" s="277"/>
      <c r="AI244" s="277"/>
      <c r="AJ244" s="277"/>
    </row>
    <row r="245" spans="2:36" s="509" customFormat="1" ht="16">
      <c r="B245" s="268"/>
      <c r="C245" s="268"/>
      <c r="D245" s="268"/>
      <c r="E245" s="503"/>
      <c r="F245" s="504"/>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04"/>
      <c r="AC245" s="504"/>
      <c r="AD245" s="504"/>
      <c r="AE245" s="504"/>
      <c r="AF245" s="504"/>
      <c r="AG245" s="504"/>
      <c r="AH245" s="504"/>
      <c r="AI245" s="504"/>
      <c r="AJ245" s="504"/>
    </row>
    <row r="246" spans="2:36" ht="17">
      <c r="B246" s="353" t="s">
        <v>241</v>
      </c>
      <c r="C246" s="353"/>
      <c r="D246" s="353"/>
      <c r="E246" s="274"/>
      <c r="F246" s="267"/>
      <c r="G246" s="346" t="s">
        <v>242</v>
      </c>
      <c r="H246" s="267"/>
      <c r="I246" s="267"/>
      <c r="J246" s="274"/>
      <c r="K246" s="346" t="s">
        <v>242</v>
      </c>
      <c r="L246" s="267"/>
      <c r="M246" s="267"/>
      <c r="N246" s="274"/>
      <c r="O246" s="346" t="s">
        <v>242</v>
      </c>
      <c r="P246" s="267"/>
      <c r="Q246" s="267"/>
      <c r="R246" s="346" t="s">
        <v>244</v>
      </c>
      <c r="S246" s="346" t="s">
        <v>245</v>
      </c>
      <c r="T246" s="274"/>
      <c r="U246" s="274"/>
      <c r="V246" s="267"/>
      <c r="W246" s="267"/>
      <c r="X246" s="267"/>
      <c r="Y246" s="267"/>
      <c r="Z246" s="267"/>
      <c r="AA246" s="267"/>
      <c r="AB246" s="267"/>
      <c r="AC246" s="267"/>
      <c r="AD246" s="267"/>
      <c r="AE246" s="267"/>
      <c r="AF246" s="267"/>
      <c r="AG246" s="267"/>
      <c r="AH246" s="267"/>
      <c r="AI246" s="267"/>
      <c r="AJ246" s="267"/>
    </row>
    <row r="247" spans="2:36" ht="16">
      <c r="B247" s="265" t="s">
        <v>246</v>
      </c>
      <c r="C247" s="265"/>
      <c r="D247" s="265"/>
      <c r="E247" s="274"/>
      <c r="F247" s="267"/>
      <c r="G247" s="267">
        <f>$D$75</f>
        <v>15023.611258697145</v>
      </c>
      <c r="H247" s="267"/>
      <c r="I247" s="267"/>
      <c r="J247" s="274"/>
      <c r="K247" s="267">
        <f>$D$75</f>
        <v>15023.611258697145</v>
      </c>
      <c r="L247" s="267"/>
      <c r="M247" s="267"/>
      <c r="N247" s="274"/>
      <c r="O247" s="267">
        <f>$D$75</f>
        <v>15023.611258697145</v>
      </c>
      <c r="P247" s="267"/>
      <c r="Q247" s="267"/>
      <c r="R247" s="347">
        <f>LOOKUP(MIN($P$248:$P$258),$O$248:$O$258,$N$248:$N$258)</f>
        <v>18.500000000000007</v>
      </c>
      <c r="S247" s="347">
        <f>LOOKUP(MAX($Q$248:$Q$258),$O$248:$O$258,$N$248:$N$258)</f>
        <v>18.600000000000009</v>
      </c>
      <c r="T247" s="378"/>
      <c r="U247" s="274"/>
      <c r="V247" s="267"/>
      <c r="W247" s="267"/>
      <c r="X247" s="267"/>
      <c r="Y247" s="267"/>
      <c r="Z247" s="267"/>
      <c r="AA247" s="267"/>
      <c r="AB247" s="267"/>
      <c r="AC247" s="267"/>
      <c r="AD247" s="267"/>
      <c r="AE247" s="267"/>
      <c r="AF247" s="267"/>
      <c r="AG247" s="267"/>
      <c r="AH247" s="267"/>
      <c r="AI247" s="267"/>
      <c r="AJ247" s="267"/>
    </row>
    <row r="248" spans="2:36" ht="16">
      <c r="B248" s="265"/>
      <c r="C248" s="265"/>
      <c r="D248" s="265"/>
      <c r="E248" s="274"/>
      <c r="F248" s="348">
        <v>0</v>
      </c>
      <c r="G248" s="267">
        <f t="dataTable" ref="G248:G258" dt2D="0" dtr="0" r1="G75" ca="1"/>
        <v>-64259804.307828151</v>
      </c>
      <c r="H248" s="267"/>
      <c r="I248" s="267"/>
      <c r="J248" s="349">
        <f>LOOKUP(MIN($H$248:$H$258),$G$248:$G$258,$F$248:$F$258)</f>
        <v>10</v>
      </c>
      <c r="K248" s="267">
        <f t="dataTable" ref="K248:K258" dt2D="0" dtr="0" r1="G75" ca="1"/>
        <v>-29906477.605054621</v>
      </c>
      <c r="L248" s="267"/>
      <c r="M248" s="267"/>
      <c r="N248" s="349">
        <f>LOOKUP(MIN($L$248:$L$258),$K$248:$K$258,$J$248:$J$258)</f>
        <v>18</v>
      </c>
      <c r="O248" s="267">
        <f t="dataTable" ref="O248:O258" dt2D="0" dtr="0" r1="G75"/>
        <v>-1990078.0623823754</v>
      </c>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row>
    <row r="249" spans="2:36" ht="17">
      <c r="B249" s="274"/>
      <c r="C249" s="274"/>
      <c r="D249" s="274"/>
      <c r="E249" s="274"/>
      <c r="F249" s="348">
        <v>10</v>
      </c>
      <c r="G249" s="267">
        <v>-29906477.605054621</v>
      </c>
      <c r="H249" s="267">
        <f t="shared" ref="H249:H258" si="115">IF(AND($G249&lt;0,$G250&gt;0),$G249,"")</f>
        <v>-29906477.605054621</v>
      </c>
      <c r="I249" s="267" t="str">
        <f t="shared" ref="I249:I258" si="116">IF(AND($G249&gt;0,$G248&lt;0),$G249,"")</f>
        <v/>
      </c>
      <c r="J249" s="349">
        <f>J248+1</f>
        <v>11</v>
      </c>
      <c r="K249" s="267">
        <v>-26471538.69947521</v>
      </c>
      <c r="L249" s="267" t="str">
        <f t="shared" ref="L249:L258" si="117">IF(AND($K249&lt;0,$K250&gt;0),$K249,"")</f>
        <v/>
      </c>
      <c r="M249" s="267" t="str">
        <f t="shared" ref="M249:M258" si="118">IF(AND($K249&gt;0,$K248&lt;0),$K249,"")</f>
        <v/>
      </c>
      <c r="N249" s="349">
        <f>N248+0.1</f>
        <v>18.100000000000001</v>
      </c>
      <c r="O249" s="267">
        <v>-1625514.1207395101</v>
      </c>
      <c r="P249" s="267" t="str">
        <f>IF(AND($O249&lt;0,$O250&gt;0),$O249,"")</f>
        <v/>
      </c>
      <c r="Q249" s="267" t="str">
        <f>IF(AND($O249&gt;0,$O248&lt;0),$O249,"")</f>
        <v/>
      </c>
      <c r="R249" s="267"/>
      <c r="S249" s="267"/>
      <c r="T249" s="267"/>
      <c r="U249" s="267"/>
      <c r="V249" s="267"/>
      <c r="W249" s="267"/>
      <c r="X249" s="267"/>
      <c r="Y249" s="267"/>
      <c r="Z249" s="267"/>
      <c r="AA249" s="267"/>
      <c r="AB249" s="267"/>
      <c r="AC249" s="267"/>
      <c r="AD249" s="267"/>
      <c r="AE249" s="267"/>
      <c r="AF249" s="267"/>
      <c r="AG249" s="267"/>
      <c r="AH249" s="267"/>
      <c r="AI249" s="267"/>
      <c r="AJ249" s="267"/>
    </row>
    <row r="250" spans="2:36" ht="17">
      <c r="B250" s="274"/>
      <c r="C250" s="274"/>
      <c r="D250" s="274"/>
      <c r="E250" s="274"/>
      <c r="F250" s="348">
        <v>20</v>
      </c>
      <c r="G250" s="267">
        <v>5075962.0204591565</v>
      </c>
      <c r="H250" s="267" t="str">
        <f t="shared" si="115"/>
        <v/>
      </c>
      <c r="I250" s="267">
        <f t="shared" si="116"/>
        <v>5075962.0204591565</v>
      </c>
      <c r="J250" s="349">
        <f t="shared" ref="J250:J257" si="119">J249+1</f>
        <v>12</v>
      </c>
      <c r="K250" s="267">
        <v>-23036599.841832977</v>
      </c>
      <c r="L250" s="267" t="str">
        <f t="shared" si="117"/>
        <v/>
      </c>
      <c r="M250" s="267" t="str">
        <f t="shared" si="118"/>
        <v/>
      </c>
      <c r="N250" s="349">
        <f t="shared" ref="N250:N257" si="120">N249+0.1</f>
        <v>18.200000000000003</v>
      </c>
      <c r="O250" s="267">
        <v>-1260950.1795326062</v>
      </c>
      <c r="P250" s="267" t="str">
        <f t="shared" ref="P250:P258" si="121">IF(AND($O250&lt;0,$O251&gt;0),$O250,"")</f>
        <v/>
      </c>
      <c r="Q250" s="267" t="str">
        <f t="shared" ref="Q250:Q258" si="122">IF(AND($O250&gt;0,$O249&lt;0),$O250,"")</f>
        <v/>
      </c>
      <c r="R250" s="267"/>
      <c r="S250" s="267"/>
      <c r="T250" s="267"/>
      <c r="U250" s="267"/>
      <c r="V250" s="267"/>
      <c r="W250" s="267"/>
      <c r="X250" s="267"/>
      <c r="Y250" s="267"/>
      <c r="Z250" s="267"/>
      <c r="AA250" s="267"/>
      <c r="AB250" s="267"/>
      <c r="AC250" s="267"/>
      <c r="AD250" s="267"/>
      <c r="AE250" s="267"/>
      <c r="AF250" s="267"/>
      <c r="AG250" s="267"/>
      <c r="AH250" s="267"/>
      <c r="AI250" s="267"/>
      <c r="AJ250" s="267"/>
    </row>
    <row r="251" spans="2:36" ht="17">
      <c r="B251" s="274"/>
      <c r="C251" s="274"/>
      <c r="D251" s="274"/>
      <c r="E251" s="274"/>
      <c r="F251" s="348">
        <v>30</v>
      </c>
      <c r="G251" s="267">
        <v>39740562.972715043</v>
      </c>
      <c r="H251" s="267" t="str">
        <f t="shared" si="115"/>
        <v/>
      </c>
      <c r="I251" s="267" t="str">
        <f t="shared" si="116"/>
        <v/>
      </c>
      <c r="J251" s="349">
        <f t="shared" si="119"/>
        <v>13</v>
      </c>
      <c r="K251" s="267">
        <v>-19523517.319465026</v>
      </c>
      <c r="L251" s="267" t="str">
        <f t="shared" si="117"/>
        <v/>
      </c>
      <c r="M251" s="267" t="str">
        <f t="shared" si="118"/>
        <v/>
      </c>
      <c r="N251" s="349">
        <f t="shared" si="120"/>
        <v>18.300000000000004</v>
      </c>
      <c r="O251" s="267">
        <v>-896386.2387616121</v>
      </c>
      <c r="P251" s="267" t="str">
        <f t="shared" si="121"/>
        <v/>
      </c>
      <c r="Q251" s="267" t="str">
        <f t="shared" si="122"/>
        <v/>
      </c>
      <c r="R251" s="267"/>
      <c r="S251" s="267"/>
      <c r="T251" s="267"/>
      <c r="U251" s="267"/>
      <c r="V251" s="267"/>
      <c r="W251" s="267"/>
      <c r="X251" s="267"/>
      <c r="Y251" s="267"/>
      <c r="Z251" s="267"/>
      <c r="AA251" s="267"/>
      <c r="AB251" s="267"/>
      <c r="AC251" s="267"/>
      <c r="AD251" s="267"/>
      <c r="AE251" s="267"/>
      <c r="AF251" s="267"/>
      <c r="AG251" s="267"/>
      <c r="AH251" s="267"/>
      <c r="AI251" s="267"/>
      <c r="AJ251" s="267"/>
    </row>
    <row r="252" spans="2:36" ht="17">
      <c r="B252" s="274"/>
      <c r="C252" s="274"/>
      <c r="D252" s="274"/>
      <c r="E252" s="274"/>
      <c r="F252" s="348">
        <v>40</v>
      </c>
      <c r="G252" s="267">
        <v>74405159.160136133</v>
      </c>
      <c r="H252" s="267" t="str">
        <f t="shared" si="115"/>
        <v/>
      </c>
      <c r="I252" s="267" t="str">
        <f t="shared" si="116"/>
        <v/>
      </c>
      <c r="J252" s="349">
        <f t="shared" si="119"/>
        <v>14</v>
      </c>
      <c r="K252" s="267">
        <v>-16039578.336574126</v>
      </c>
      <c r="L252" s="267" t="str">
        <f t="shared" si="117"/>
        <v/>
      </c>
      <c r="M252" s="267" t="str">
        <f t="shared" si="118"/>
        <v/>
      </c>
      <c r="N252" s="349">
        <f t="shared" si="120"/>
        <v>18.400000000000006</v>
      </c>
      <c r="O252" s="267">
        <v>-531822.29842656129</v>
      </c>
      <c r="P252" s="267" t="str">
        <f t="shared" si="121"/>
        <v/>
      </c>
      <c r="Q252" s="267" t="str">
        <f t="shared" si="122"/>
        <v/>
      </c>
      <c r="R252" s="267"/>
      <c r="S252" s="267"/>
      <c r="T252" s="267"/>
      <c r="U252" s="267"/>
      <c r="V252" s="267"/>
      <c r="W252" s="267"/>
      <c r="X252" s="267"/>
      <c r="Y252" s="267"/>
      <c r="Z252" s="267"/>
      <c r="AA252" s="267"/>
      <c r="AB252" s="267"/>
      <c r="AC252" s="267"/>
      <c r="AD252" s="267"/>
      <c r="AE252" s="267"/>
      <c r="AF252" s="267"/>
      <c r="AG252" s="267"/>
      <c r="AH252" s="267"/>
      <c r="AI252" s="267"/>
      <c r="AJ252" s="267"/>
    </row>
    <row r="253" spans="2:36" ht="17">
      <c r="B253" s="274"/>
      <c r="C253" s="274"/>
      <c r="D253" s="274"/>
      <c r="E253" s="274"/>
      <c r="F253" s="348">
        <v>50</v>
      </c>
      <c r="G253" s="267">
        <v>109069750.59783228</v>
      </c>
      <c r="H253" s="267" t="str">
        <f t="shared" si="115"/>
        <v/>
      </c>
      <c r="I253" s="267" t="str">
        <f t="shared" si="116"/>
        <v/>
      </c>
      <c r="J253" s="349">
        <f t="shared" si="119"/>
        <v>15</v>
      </c>
      <c r="K253" s="267">
        <v>-12595611.704346273</v>
      </c>
      <c r="L253" s="267" t="str">
        <f t="shared" si="117"/>
        <v/>
      </c>
      <c r="M253" s="267" t="str">
        <f t="shared" si="118"/>
        <v/>
      </c>
      <c r="N253" s="349">
        <f t="shared" si="120"/>
        <v>18.500000000000007</v>
      </c>
      <c r="O253" s="267">
        <v>-167258.35852743167</v>
      </c>
      <c r="P253" s="267">
        <f t="shared" si="121"/>
        <v>-167258.35852743167</v>
      </c>
      <c r="Q253" s="267" t="str">
        <f t="shared" si="122"/>
        <v/>
      </c>
      <c r="R253" s="267"/>
      <c r="S253" s="267"/>
      <c r="T253" s="267"/>
      <c r="U253" s="267"/>
      <c r="V253" s="267"/>
      <c r="W253" s="267"/>
      <c r="X253" s="267"/>
      <c r="Y253" s="267"/>
      <c r="Z253" s="267"/>
      <c r="AA253" s="267"/>
      <c r="AB253" s="267"/>
      <c r="AC253" s="267"/>
      <c r="AD253" s="267"/>
      <c r="AE253" s="267"/>
      <c r="AF253" s="267"/>
      <c r="AG253" s="267"/>
      <c r="AH253" s="267"/>
      <c r="AI253" s="267"/>
      <c r="AJ253" s="267"/>
    </row>
    <row r="254" spans="2:36" ht="17">
      <c r="B254" s="274"/>
      <c r="C254" s="274"/>
      <c r="D254" s="274"/>
      <c r="E254" s="274"/>
      <c r="F254" s="348">
        <v>60</v>
      </c>
      <c r="G254" s="267">
        <v>143734337.30084956</v>
      </c>
      <c r="H254" s="267" t="str">
        <f t="shared" si="115"/>
        <v/>
      </c>
      <c r="I254" s="267" t="str">
        <f t="shared" si="116"/>
        <v/>
      </c>
      <c r="J254" s="349">
        <f t="shared" si="119"/>
        <v>16</v>
      </c>
      <c r="K254" s="267">
        <v>-9151645.1199945938</v>
      </c>
      <c r="L254" s="267" t="str">
        <f t="shared" si="117"/>
        <v/>
      </c>
      <c r="M254" s="267" t="str">
        <f t="shared" si="118"/>
        <v/>
      </c>
      <c r="N254" s="349">
        <f t="shared" si="120"/>
        <v>18.600000000000009</v>
      </c>
      <c r="O254" s="267">
        <v>197305.58093581826</v>
      </c>
      <c r="P254" s="267" t="str">
        <f t="shared" si="121"/>
        <v/>
      </c>
      <c r="Q254" s="267">
        <f t="shared" si="122"/>
        <v>197305.58093581826</v>
      </c>
      <c r="R254" s="267"/>
      <c r="S254" s="267"/>
      <c r="T254" s="267"/>
      <c r="U254" s="267"/>
      <c r="V254" s="267"/>
      <c r="W254" s="267"/>
      <c r="X254" s="267"/>
      <c r="Y254" s="267"/>
      <c r="Z254" s="267"/>
      <c r="AA254" s="267"/>
      <c r="AB254" s="267"/>
      <c r="AC254" s="267"/>
      <c r="AD254" s="267"/>
      <c r="AE254" s="267"/>
      <c r="AF254" s="267"/>
      <c r="AG254" s="267"/>
      <c r="AH254" s="267"/>
      <c r="AI254" s="267"/>
      <c r="AJ254" s="267"/>
    </row>
    <row r="255" spans="2:36" ht="17">
      <c r="B255" s="274"/>
      <c r="C255" s="274"/>
      <c r="D255" s="274"/>
      <c r="E255" s="274"/>
      <c r="F255" s="348">
        <v>70</v>
      </c>
      <c r="G255" s="267">
        <v>178398919.28417048</v>
      </c>
      <c r="H255" s="267" t="str">
        <f t="shared" si="115"/>
        <v/>
      </c>
      <c r="I255" s="267" t="str">
        <f t="shared" si="116"/>
        <v/>
      </c>
      <c r="J255" s="349">
        <f t="shared" si="119"/>
        <v>17</v>
      </c>
      <c r="K255" s="267">
        <v>-5635717.5027907966</v>
      </c>
      <c r="L255" s="267" t="str">
        <f t="shared" si="117"/>
        <v/>
      </c>
      <c r="M255" s="267" t="str">
        <f t="shared" si="118"/>
        <v/>
      </c>
      <c r="N255" s="349">
        <f t="shared" si="120"/>
        <v>18.70000000000001</v>
      </c>
      <c r="O255" s="267">
        <v>561869.51996320544</v>
      </c>
      <c r="P255" s="267" t="str">
        <f t="shared" si="121"/>
        <v/>
      </c>
      <c r="Q255" s="267" t="str">
        <f t="shared" si="122"/>
        <v/>
      </c>
      <c r="R255" s="267"/>
      <c r="S255" s="267"/>
      <c r="T255" s="267"/>
      <c r="U255" s="267"/>
      <c r="V255" s="267"/>
      <c r="W255" s="267"/>
      <c r="X255" s="267"/>
      <c r="Y255" s="267"/>
      <c r="Z255" s="267"/>
      <c r="AA255" s="267"/>
      <c r="AB255" s="267"/>
      <c r="AC255" s="267"/>
      <c r="AD255" s="267"/>
      <c r="AE255" s="267"/>
      <c r="AF255" s="267"/>
      <c r="AG255" s="267"/>
      <c r="AH255" s="267"/>
      <c r="AI255" s="267"/>
      <c r="AJ255" s="267"/>
    </row>
    <row r="256" spans="2:36" ht="17">
      <c r="B256" s="274"/>
      <c r="C256" s="274"/>
      <c r="D256" s="274"/>
      <c r="E256" s="274"/>
      <c r="F256" s="348">
        <v>80</v>
      </c>
      <c r="G256" s="267">
        <v>213063496.56271455</v>
      </c>
      <c r="H256" s="267" t="str">
        <f t="shared" si="115"/>
        <v/>
      </c>
      <c r="I256" s="267" t="str">
        <f t="shared" si="116"/>
        <v/>
      </c>
      <c r="J256" s="349">
        <f t="shared" si="119"/>
        <v>18</v>
      </c>
      <c r="K256" s="267">
        <v>-1990078.0623823754</v>
      </c>
      <c r="L256" s="267">
        <f t="shared" si="117"/>
        <v>-1990078.0623823754</v>
      </c>
      <c r="M256" s="267" t="str">
        <f t="shared" si="118"/>
        <v/>
      </c>
      <c r="N256" s="349">
        <f t="shared" si="120"/>
        <v>18.800000000000011</v>
      </c>
      <c r="O256" s="267">
        <v>916209.58527170296</v>
      </c>
      <c r="P256" s="267" t="str">
        <f t="shared" si="121"/>
        <v/>
      </c>
      <c r="Q256" s="267" t="str">
        <f t="shared" si="122"/>
        <v/>
      </c>
      <c r="R256" s="267"/>
      <c r="S256" s="267"/>
      <c r="T256" s="267"/>
      <c r="U256" s="267"/>
      <c r="V256" s="267"/>
      <c r="W256" s="267"/>
      <c r="X256" s="267"/>
      <c r="Y256" s="267"/>
      <c r="Z256" s="267"/>
      <c r="AA256" s="267"/>
      <c r="AB256" s="267"/>
      <c r="AC256" s="267"/>
      <c r="AD256" s="267"/>
      <c r="AE256" s="267"/>
      <c r="AF256" s="267"/>
      <c r="AG256" s="267"/>
      <c r="AH256" s="267"/>
      <c r="AI256" s="267"/>
      <c r="AJ256" s="267"/>
    </row>
    <row r="257" spans="2:36" ht="17">
      <c r="B257" s="274"/>
      <c r="C257" s="274"/>
      <c r="D257" s="274"/>
      <c r="E257" s="274"/>
      <c r="F257" s="348">
        <v>90</v>
      </c>
      <c r="G257" s="267">
        <v>247728069.15133831</v>
      </c>
      <c r="H257" s="267" t="str">
        <f t="shared" si="115"/>
        <v/>
      </c>
      <c r="I257" s="267" t="str">
        <f t="shared" si="116"/>
        <v/>
      </c>
      <c r="J257" s="349">
        <f t="shared" si="119"/>
        <v>19</v>
      </c>
      <c r="K257" s="267">
        <v>1609501.6625840405</v>
      </c>
      <c r="L257" s="267" t="str">
        <f t="shared" si="117"/>
        <v/>
      </c>
      <c r="M257" s="267">
        <f t="shared" si="118"/>
        <v>1609501.6625840405</v>
      </c>
      <c r="N257" s="349">
        <f t="shared" si="120"/>
        <v>18.900000000000013</v>
      </c>
      <c r="O257" s="267">
        <v>1262855.6241669722</v>
      </c>
      <c r="P257" s="267" t="str">
        <f t="shared" si="121"/>
        <v/>
      </c>
      <c r="Q257" s="267" t="str">
        <f t="shared" si="122"/>
        <v/>
      </c>
      <c r="R257" s="267"/>
      <c r="S257" s="267"/>
      <c r="T257" s="267"/>
      <c r="U257" s="267"/>
      <c r="V257" s="267"/>
      <c r="W257" s="267"/>
      <c r="X257" s="267"/>
      <c r="Y257" s="267"/>
      <c r="Z257" s="267"/>
      <c r="AA257" s="267"/>
      <c r="AB257" s="267"/>
      <c r="AC257" s="267"/>
      <c r="AD257" s="267"/>
      <c r="AE257" s="267"/>
      <c r="AF257" s="267"/>
      <c r="AG257" s="267"/>
      <c r="AH257" s="267"/>
      <c r="AI257" s="267"/>
      <c r="AJ257" s="267"/>
    </row>
    <row r="258" spans="2:36" ht="17">
      <c r="B258" s="274"/>
      <c r="C258" s="274"/>
      <c r="D258" s="274"/>
      <c r="E258" s="274"/>
      <c r="F258" s="348">
        <v>100</v>
      </c>
      <c r="G258" s="267">
        <v>282392637.06483597</v>
      </c>
      <c r="H258" s="267" t="str">
        <f t="shared" si="115"/>
        <v/>
      </c>
      <c r="I258" s="267" t="str">
        <f t="shared" si="116"/>
        <v/>
      </c>
      <c r="J258" s="349">
        <f>LOOKUP(MAX($I$248:$I$258),$G$248:$G$258,$F$248:$F$258)</f>
        <v>20</v>
      </c>
      <c r="K258" s="267">
        <v>5075962.0204591565</v>
      </c>
      <c r="L258" s="267" t="str">
        <f t="shared" si="117"/>
        <v/>
      </c>
      <c r="M258" s="267" t="str">
        <f t="shared" si="118"/>
        <v/>
      </c>
      <c r="N258" s="349">
        <f>LOOKUP(MAX($M$248:$M$258),$K$248:$K$258,$J$248:$J$258)</f>
        <v>19</v>
      </c>
      <c r="O258" s="267">
        <v>1609501.6625840405</v>
      </c>
      <c r="P258" s="267" t="str">
        <f t="shared" si="121"/>
        <v/>
      </c>
      <c r="Q258" s="267" t="str">
        <f t="shared" si="122"/>
        <v/>
      </c>
      <c r="R258" s="267"/>
      <c r="S258" s="267"/>
      <c r="T258" s="267"/>
      <c r="U258" s="267"/>
      <c r="V258" s="267"/>
      <c r="W258" s="267"/>
      <c r="X258" s="267"/>
      <c r="Y258" s="267"/>
      <c r="Z258" s="267"/>
      <c r="AA258" s="267"/>
      <c r="AB258" s="267"/>
      <c r="AC258" s="267"/>
      <c r="AD258" s="267"/>
      <c r="AE258" s="267"/>
      <c r="AF258" s="267"/>
      <c r="AG258" s="267"/>
      <c r="AH258" s="267"/>
      <c r="AI258" s="267"/>
      <c r="AJ258" s="267"/>
    </row>
    <row r="259" spans="2:36" ht="16" thickBot="1">
      <c r="B259" s="276"/>
      <c r="C259" s="276"/>
      <c r="D259" s="276"/>
      <c r="E259" s="276"/>
      <c r="F259" s="352"/>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c r="AC259" s="276"/>
      <c r="AD259" s="276"/>
      <c r="AE259" s="276"/>
      <c r="AF259" s="276"/>
      <c r="AG259" s="276"/>
      <c r="AH259" s="276"/>
      <c r="AI259" s="276"/>
      <c r="AJ259" s="276"/>
    </row>
    <row r="260" spans="2:36" s="350" customFormat="1">
      <c r="F260" s="351"/>
    </row>
    <row r="261" spans="2:36">
      <c r="F261" s="345"/>
    </row>
    <row r="262" spans="2:36">
      <c r="F262" s="345"/>
    </row>
    <row r="263" spans="2:36">
      <c r="F263" s="345"/>
    </row>
    <row r="264" spans="2:36">
      <c r="F264" s="345"/>
    </row>
    <row r="265" spans="2:36">
      <c r="F265" s="345"/>
    </row>
    <row r="266" spans="2:36">
      <c r="F266" s="345"/>
    </row>
    <row r="267" spans="2:36">
      <c r="F267" s="345"/>
    </row>
    <row r="268" spans="2:36">
      <c r="F268" s="345"/>
    </row>
    <row r="269" spans="2:36">
      <c r="F269" s="345"/>
    </row>
    <row r="270" spans="2:36">
      <c r="F270" s="345"/>
    </row>
    <row r="271" spans="2:36">
      <c r="F271" s="345"/>
    </row>
  </sheetData>
  <mergeCells count="4">
    <mergeCell ref="C99:E99"/>
    <mergeCell ref="B73:C73"/>
    <mergeCell ref="B74:C74"/>
    <mergeCell ref="B75:C75"/>
  </mergeCells>
  <dataValidations disablePrompts="1" count="1">
    <dataValidation type="list" allowBlank="1" showInputMessage="1" showErrorMessage="1" sqref="E65666 HW65666 RS65666 ABO65666 ALK65666 AVG65666 BFC65666 BOY65666 BYU65666 CIQ65666 CSM65666 DCI65666 DME65666 DWA65666 EFW65666 EPS65666 EZO65666 FJK65666 FTG65666 GDC65666 GMY65666 GWU65666 HGQ65666 HQM65666 IAI65666 IKE65666 IUA65666 JDW65666 JNS65666 JXO65666 KHK65666 KRG65666 LBC65666 LKY65666 LUU65666 MEQ65666 MOM65666 MYI65666 NIE65666 NSA65666 OBW65666 OLS65666 OVO65666 PFK65666 PPG65666 PZC65666 QIY65666 QSU65666 RCQ65666 RMM65666 RWI65666 SGE65666 SQA65666 SZW65666 TJS65666 TTO65666 UDK65666 UNG65666 UXC65666 VGY65666 VQU65666 WAQ65666 WKM65666 WUI65666 HW131202 RS131202 ABO131202 ALK131202 AVG131202 BFC131202 BOY131202 BYU131202 CIQ131202 CSM131202 DCI131202 DME131202 DWA131202 EFW131202 EPS131202 EZO131202 FJK131202 FTG131202 GDC131202 GMY131202 GWU131202 HGQ131202 HQM131202 IAI131202 IKE131202 IUA131202 JDW131202 JNS131202 JXO131202 KHK131202 KRG131202 LBC131202 LKY131202 LUU131202 MEQ131202 MOM131202 MYI131202 NIE131202 NSA131202 OBW131202 OLS131202 OVO131202 PFK131202 PPG131202 PZC131202 QIY131202 QSU131202 RCQ131202 RMM131202 RWI131202 SGE131202 SQA131202 SZW131202 TJS131202 TTO131202 UDK131202 UNG131202 UXC131202 VGY131202 VQU131202 WAQ131202 WKM131202 WUI131202 HW196738 RS196738 ABO196738 ALK196738 AVG196738 BFC196738 BOY196738 BYU196738 CIQ196738 CSM196738 DCI196738 DME196738 DWA196738 EFW196738 EPS196738 EZO196738 FJK196738 FTG196738 GDC196738 GMY196738 GWU196738 HGQ196738 HQM196738 IAI196738 IKE196738 IUA196738 JDW196738 JNS196738 JXO196738 KHK196738 KRG196738 LBC196738 LKY196738 LUU196738 MEQ196738 MOM196738 MYI196738 NIE196738 NSA196738 OBW196738 OLS196738 OVO196738 PFK196738 PPG196738 PZC196738 QIY196738 QSU196738 RCQ196738 RMM196738 RWI196738 SGE196738 SQA196738 SZW196738 TJS196738 TTO196738 UDK196738 UNG196738 UXC196738 VGY196738 VQU196738 WAQ196738 WKM196738 WUI196738 HW262274 RS262274 ABO262274 ALK262274 AVG262274 BFC262274 BOY262274 BYU262274 CIQ262274 CSM262274 DCI262274 DME262274 DWA262274 EFW262274 EPS262274 EZO262274 FJK262274 FTG262274 GDC262274 GMY262274 GWU262274 HGQ262274 HQM262274 IAI262274 IKE262274 IUA262274 JDW262274 JNS262274 JXO262274 KHK262274 KRG262274 LBC262274 LKY262274 LUU262274 MEQ262274 MOM262274 MYI262274 NIE262274 NSA262274 OBW262274 OLS262274 OVO262274 PFK262274 PPG262274 PZC262274 QIY262274 QSU262274 RCQ262274 RMM262274 RWI262274 SGE262274 SQA262274 SZW262274 TJS262274 TTO262274 UDK262274 UNG262274 UXC262274 VGY262274 VQU262274 WAQ262274 WKM262274 WUI262274 HW327810 RS327810 ABO327810 ALK327810 AVG327810 BFC327810 BOY327810 BYU327810 CIQ327810 CSM327810 DCI327810 DME327810 DWA327810 EFW327810 EPS327810 EZO327810 FJK327810 FTG327810 GDC327810 GMY327810 GWU327810 HGQ327810 HQM327810 IAI327810 IKE327810 IUA327810 JDW327810 JNS327810 JXO327810 KHK327810 KRG327810 LBC327810 LKY327810 LUU327810 MEQ327810 MOM327810 MYI327810 NIE327810 NSA327810 OBW327810 OLS327810 OVO327810 PFK327810 PPG327810 PZC327810 QIY327810 QSU327810 RCQ327810 RMM327810 RWI327810 SGE327810 SQA327810 SZW327810 TJS327810 TTO327810 UDK327810 UNG327810 UXC327810 VGY327810 VQU327810 WAQ327810 WKM327810 WUI327810 HW393346 RS393346 ABO393346 ALK393346 AVG393346 BFC393346 BOY393346 BYU393346 CIQ393346 CSM393346 DCI393346 DME393346 DWA393346 EFW393346 EPS393346 EZO393346 FJK393346 FTG393346 GDC393346 GMY393346 GWU393346 HGQ393346 HQM393346 IAI393346 IKE393346 IUA393346 JDW393346 JNS393346 JXO393346 KHK393346 KRG393346 LBC393346 LKY393346 LUU393346 MEQ393346 MOM393346 MYI393346 NIE393346 NSA393346 OBW393346 OLS393346 OVO393346 PFK393346 PPG393346 PZC393346 QIY393346 QSU393346 RCQ393346 RMM393346 RWI393346 SGE393346 SQA393346 SZW393346 TJS393346 TTO393346 UDK393346 UNG393346 UXC393346 VGY393346 VQU393346 WAQ393346 WKM393346 WUI393346 HW458882 RS458882 ABO458882 ALK458882 AVG458882 BFC458882 BOY458882 BYU458882 CIQ458882 CSM458882 DCI458882 DME458882 DWA458882 EFW458882 EPS458882 EZO458882 FJK458882 FTG458882 GDC458882 GMY458882 GWU458882 HGQ458882 HQM458882 IAI458882 IKE458882 IUA458882 JDW458882 JNS458882 JXO458882 KHK458882 KRG458882 LBC458882 LKY458882 LUU458882 MEQ458882 MOM458882 MYI458882 NIE458882 NSA458882 OBW458882 OLS458882 OVO458882 PFK458882 PPG458882 PZC458882 QIY458882 QSU458882 RCQ458882 RMM458882 RWI458882 SGE458882 SQA458882 SZW458882 TJS458882 TTO458882 UDK458882 UNG458882 UXC458882 VGY458882 VQU458882 WAQ458882 WKM458882 WUI458882 HW524418 RS524418 ABO524418 ALK524418 AVG524418 BFC524418 BOY524418 BYU524418 CIQ524418 CSM524418 DCI524418 DME524418 DWA524418 EFW524418 EPS524418 EZO524418 FJK524418 FTG524418 GDC524418 GMY524418 GWU524418 HGQ524418 HQM524418 IAI524418 IKE524418 IUA524418 JDW524418 JNS524418 JXO524418 KHK524418 KRG524418 LBC524418 LKY524418 LUU524418 MEQ524418 MOM524418 MYI524418 NIE524418 NSA524418 OBW524418 OLS524418 OVO524418 PFK524418 PPG524418 PZC524418 QIY524418 QSU524418 RCQ524418 RMM524418 RWI524418 SGE524418 SQA524418 SZW524418 TJS524418 TTO524418 UDK524418 UNG524418 UXC524418 VGY524418 VQU524418 WAQ524418 WKM524418 WUI524418 HW589954 RS589954 ABO589954 ALK589954 AVG589954 BFC589954 BOY589954 BYU589954 CIQ589954 CSM589954 DCI589954 DME589954 DWA589954 EFW589954 EPS589954 EZO589954 FJK589954 FTG589954 GDC589954 GMY589954 GWU589954 HGQ589954 HQM589954 IAI589954 IKE589954 IUA589954 JDW589954 JNS589954 JXO589954 KHK589954 KRG589954 LBC589954 LKY589954 LUU589954 MEQ589954 MOM589954 MYI589954 NIE589954 NSA589954 OBW589954 OLS589954 OVO589954 PFK589954 PPG589954 PZC589954 QIY589954 QSU589954 RCQ589954 RMM589954 RWI589954 SGE589954 SQA589954 SZW589954 TJS589954 TTO589954 UDK589954 UNG589954 UXC589954 VGY589954 VQU589954 WAQ589954 WKM589954 WUI589954 HW655490 RS655490 ABO655490 ALK655490 AVG655490 BFC655490 BOY655490 BYU655490 CIQ655490 CSM655490 DCI655490 DME655490 DWA655490 EFW655490 EPS655490 EZO655490 FJK655490 FTG655490 GDC655490 GMY655490 GWU655490 HGQ655490 HQM655490 IAI655490 IKE655490 IUA655490 JDW655490 JNS655490 JXO655490 KHK655490 KRG655490 LBC655490 LKY655490 LUU655490 MEQ655490 MOM655490 MYI655490 NIE655490 NSA655490 OBW655490 OLS655490 OVO655490 PFK655490 PPG655490 PZC655490 QIY655490 QSU655490 RCQ655490 RMM655490 RWI655490 SGE655490 SQA655490 SZW655490 TJS655490 TTO655490 UDK655490 UNG655490 UXC655490 VGY655490 VQU655490 WAQ655490 WKM655490 WUI655490 HW721026 RS721026 ABO721026 ALK721026 AVG721026 BFC721026 BOY721026 BYU721026 CIQ721026 CSM721026 DCI721026 DME721026 DWA721026 EFW721026 EPS721026 EZO721026 FJK721026 FTG721026 GDC721026 GMY721026 GWU721026 HGQ721026 HQM721026 IAI721026 IKE721026 IUA721026 JDW721026 JNS721026 JXO721026 KHK721026 KRG721026 LBC721026 LKY721026 LUU721026 MEQ721026 MOM721026 MYI721026 NIE721026 NSA721026 OBW721026 OLS721026 OVO721026 PFK721026 PPG721026 PZC721026 QIY721026 QSU721026 RCQ721026 RMM721026 RWI721026 SGE721026 SQA721026 SZW721026 TJS721026 TTO721026 UDK721026 UNG721026 UXC721026 VGY721026 VQU721026 WAQ721026 WKM721026 WUI721026 HW786562 RS786562 ABO786562 ALK786562 AVG786562 BFC786562 BOY786562 BYU786562 CIQ786562 CSM786562 DCI786562 DME786562 DWA786562 EFW786562 EPS786562 EZO786562 FJK786562 FTG786562 GDC786562 GMY786562 GWU786562 HGQ786562 HQM786562 IAI786562 IKE786562 IUA786562 JDW786562 JNS786562 JXO786562 KHK786562 KRG786562 LBC786562 LKY786562 LUU786562 MEQ786562 MOM786562 MYI786562 NIE786562 NSA786562 OBW786562 OLS786562 OVO786562 PFK786562 PPG786562 PZC786562 QIY786562 QSU786562 RCQ786562 RMM786562 RWI786562 SGE786562 SQA786562 SZW786562 TJS786562 TTO786562 UDK786562 UNG786562 UXC786562 VGY786562 VQU786562 WAQ786562 WKM786562 WUI786562 HW852098 RS852098 ABO852098 ALK852098 AVG852098 BFC852098 BOY852098 BYU852098 CIQ852098 CSM852098 DCI852098 DME852098 DWA852098 EFW852098 EPS852098 EZO852098 FJK852098 FTG852098 GDC852098 GMY852098 GWU852098 HGQ852098 HQM852098 IAI852098 IKE852098 IUA852098 JDW852098 JNS852098 JXO852098 KHK852098 KRG852098 LBC852098 LKY852098 LUU852098 MEQ852098 MOM852098 MYI852098 NIE852098 NSA852098 OBW852098 OLS852098 OVO852098 PFK852098 PPG852098 PZC852098 QIY852098 QSU852098 RCQ852098 RMM852098 RWI852098 SGE852098 SQA852098 SZW852098 TJS852098 TTO852098 UDK852098 UNG852098 UXC852098 VGY852098 VQU852098 WAQ852098 WKM852098 WUI852098 HW917634 RS917634 ABO917634 ALK917634 AVG917634 BFC917634 BOY917634 BYU917634 CIQ917634 CSM917634 DCI917634 DME917634 DWA917634 EFW917634 EPS917634 EZO917634 FJK917634 FTG917634 GDC917634 GMY917634 GWU917634 HGQ917634 HQM917634 IAI917634 IKE917634 IUA917634 JDW917634 JNS917634 JXO917634 KHK917634 KRG917634 LBC917634 LKY917634 LUU917634 MEQ917634 MOM917634 MYI917634 NIE917634 NSA917634 OBW917634 OLS917634 OVO917634 PFK917634 PPG917634 PZC917634 QIY917634 QSU917634 RCQ917634 RMM917634 RWI917634 SGE917634 SQA917634 SZW917634 TJS917634 TTO917634 UDK917634 UNG917634 UXC917634 VGY917634 VQU917634 WAQ917634 WKM917634 WUI917634 HW983170 RS983170 ABO983170 ALK983170 AVG983170 BFC983170 BOY983170 BYU983170 CIQ983170 CSM983170 DCI983170 DME983170 DWA983170 EFW983170 EPS983170 EZO983170 FJK983170 FTG983170 GDC983170 GMY983170 GWU983170 HGQ983170 HQM983170 IAI983170 IKE983170 IUA983170 JDW983170 JNS983170 JXO983170 KHK983170 KRG983170 LBC983170 LKY983170 LUU983170 MEQ983170 MOM983170 MYI983170 NIE983170 NSA983170 OBW983170 OLS983170 OVO983170 PFK983170 PPG983170 PZC983170 QIY983170 QSU983170 RCQ983170 RMM983170 RWI983170 SGE983170 SQA983170 SZW983170 TJS983170 TTO983170 UDK983170 UNG983170 UXC983170 VGY983170 VQU983170 WAQ983170 WKM983170 WUI983170 HW65677 RS65677 ABO65677 ALK65677 AVG65677 BFC65677 BOY65677 BYU65677 CIQ65677 CSM65677 DCI65677 DME65677 DWA65677 EFW65677 EPS65677 EZO65677 FJK65677 FTG65677 GDC65677 GMY65677 GWU65677 HGQ65677 HQM65677 IAI65677 IKE65677 IUA65677 JDW65677 JNS65677 JXO65677 KHK65677 KRG65677 LBC65677 LKY65677 LUU65677 MEQ65677 MOM65677 MYI65677 NIE65677 NSA65677 OBW65677 OLS65677 OVO65677 PFK65677 PPG65677 PZC65677 QIY65677 QSU65677 RCQ65677 RMM65677 RWI65677 SGE65677 SQA65677 SZW65677 TJS65677 TTO65677 UDK65677 UNG65677 UXC65677 VGY65677 VQU65677 WAQ65677 WKM65677 WUI65677 HW131213 RS131213 ABO131213 ALK131213 AVG131213 BFC131213 BOY131213 BYU131213 CIQ131213 CSM131213 DCI131213 DME131213 DWA131213 EFW131213 EPS131213 EZO131213 FJK131213 FTG131213 GDC131213 GMY131213 GWU131213 HGQ131213 HQM131213 IAI131213 IKE131213 IUA131213 JDW131213 JNS131213 JXO131213 KHK131213 KRG131213 LBC131213 LKY131213 LUU131213 MEQ131213 MOM131213 MYI131213 NIE131213 NSA131213 OBW131213 OLS131213 OVO131213 PFK131213 PPG131213 PZC131213 QIY131213 QSU131213 RCQ131213 RMM131213 RWI131213 SGE131213 SQA131213 SZW131213 TJS131213 TTO131213 UDK131213 UNG131213 UXC131213 VGY131213 VQU131213 WAQ131213 WKM131213 WUI131213 HW196749 RS196749 ABO196749 ALK196749 AVG196749 BFC196749 BOY196749 BYU196749 CIQ196749 CSM196749 DCI196749 DME196749 DWA196749 EFW196749 EPS196749 EZO196749 FJK196749 FTG196749 GDC196749 GMY196749 GWU196749 HGQ196749 HQM196749 IAI196749 IKE196749 IUA196749 JDW196749 JNS196749 JXO196749 KHK196749 KRG196749 LBC196749 LKY196749 LUU196749 MEQ196749 MOM196749 MYI196749 NIE196749 NSA196749 OBW196749 OLS196749 OVO196749 PFK196749 PPG196749 PZC196749 QIY196749 QSU196749 RCQ196749 RMM196749 RWI196749 SGE196749 SQA196749 SZW196749 TJS196749 TTO196749 UDK196749 UNG196749 UXC196749 VGY196749 VQU196749 WAQ196749 WKM196749 WUI196749 HW262285 RS262285 ABO262285 ALK262285 AVG262285 BFC262285 BOY262285 BYU262285 CIQ262285 CSM262285 DCI262285 DME262285 DWA262285 EFW262285 EPS262285 EZO262285 FJK262285 FTG262285 GDC262285 GMY262285 GWU262285 HGQ262285 HQM262285 IAI262285 IKE262285 IUA262285 JDW262285 JNS262285 JXO262285 KHK262285 KRG262285 LBC262285 LKY262285 LUU262285 MEQ262285 MOM262285 MYI262285 NIE262285 NSA262285 OBW262285 OLS262285 OVO262285 PFK262285 PPG262285 PZC262285 QIY262285 QSU262285 RCQ262285 RMM262285 RWI262285 SGE262285 SQA262285 SZW262285 TJS262285 TTO262285 UDK262285 UNG262285 UXC262285 VGY262285 VQU262285 WAQ262285 WKM262285 WUI262285 HW327821 RS327821 ABO327821 ALK327821 AVG327821 BFC327821 BOY327821 BYU327821 CIQ327821 CSM327821 DCI327821 DME327821 DWA327821 EFW327821 EPS327821 EZO327821 FJK327821 FTG327821 GDC327821 GMY327821 GWU327821 HGQ327821 HQM327821 IAI327821 IKE327821 IUA327821 JDW327821 JNS327821 JXO327821 KHK327821 KRG327821 LBC327821 LKY327821 LUU327821 MEQ327821 MOM327821 MYI327821 NIE327821 NSA327821 OBW327821 OLS327821 OVO327821 PFK327821 PPG327821 PZC327821 QIY327821 QSU327821 RCQ327821 RMM327821 RWI327821 SGE327821 SQA327821 SZW327821 TJS327821 TTO327821 UDK327821 UNG327821 UXC327821 VGY327821 VQU327821 WAQ327821 WKM327821 WUI327821 HW393357 RS393357 ABO393357 ALK393357 AVG393357 BFC393357 BOY393357 BYU393357 CIQ393357 CSM393357 DCI393357 DME393357 DWA393357 EFW393357 EPS393357 EZO393357 FJK393357 FTG393357 GDC393357 GMY393357 GWU393357 HGQ393357 HQM393357 IAI393357 IKE393357 IUA393357 JDW393357 JNS393357 JXO393357 KHK393357 KRG393357 LBC393357 LKY393357 LUU393357 MEQ393357 MOM393357 MYI393357 NIE393357 NSA393357 OBW393357 OLS393357 OVO393357 PFK393357 PPG393357 PZC393357 QIY393357 QSU393357 RCQ393357 RMM393357 RWI393357 SGE393357 SQA393357 SZW393357 TJS393357 TTO393357 UDK393357 UNG393357 UXC393357 VGY393357 VQU393357 WAQ393357 WKM393357 WUI393357 HW458893 RS458893 ABO458893 ALK458893 AVG458893 BFC458893 BOY458893 BYU458893 CIQ458893 CSM458893 DCI458893 DME458893 DWA458893 EFW458893 EPS458893 EZO458893 FJK458893 FTG458893 GDC458893 GMY458893 GWU458893 HGQ458893 HQM458893 IAI458893 IKE458893 IUA458893 JDW458893 JNS458893 JXO458893 KHK458893 KRG458893 LBC458893 LKY458893 LUU458893 MEQ458893 MOM458893 MYI458893 NIE458893 NSA458893 OBW458893 OLS458893 OVO458893 PFK458893 PPG458893 PZC458893 QIY458893 QSU458893 RCQ458893 RMM458893 RWI458893 SGE458893 SQA458893 SZW458893 TJS458893 TTO458893 UDK458893 UNG458893 UXC458893 VGY458893 VQU458893 WAQ458893 WKM458893 WUI458893 HW524429 RS524429 ABO524429 ALK524429 AVG524429 BFC524429 BOY524429 BYU524429 CIQ524429 CSM524429 DCI524429 DME524429 DWA524429 EFW524429 EPS524429 EZO524429 FJK524429 FTG524429 GDC524429 GMY524429 GWU524429 HGQ524429 HQM524429 IAI524429 IKE524429 IUA524429 JDW524429 JNS524429 JXO524429 KHK524429 KRG524429 LBC524429 LKY524429 LUU524429 MEQ524429 MOM524429 MYI524429 NIE524429 NSA524429 OBW524429 OLS524429 OVO524429 PFK524429 PPG524429 PZC524429 QIY524429 QSU524429 RCQ524429 RMM524429 RWI524429 SGE524429 SQA524429 SZW524429 TJS524429 TTO524429 UDK524429 UNG524429 UXC524429 VGY524429 VQU524429 WAQ524429 WKM524429 WUI524429 HW589965 RS589965 ABO589965 ALK589965 AVG589965 BFC589965 BOY589965 BYU589965 CIQ589965 CSM589965 DCI589965 DME589965 DWA589965 EFW589965 EPS589965 EZO589965 FJK589965 FTG589965 GDC589965 GMY589965 GWU589965 HGQ589965 HQM589965 IAI589965 IKE589965 IUA589965 JDW589965 JNS589965 JXO589965 KHK589965 KRG589965 LBC589965 LKY589965 LUU589965 MEQ589965 MOM589965 MYI589965 NIE589965 NSA589965 OBW589965 OLS589965 OVO589965 PFK589965 PPG589965 PZC589965 QIY589965 QSU589965 RCQ589965 RMM589965 RWI589965 SGE589965 SQA589965 SZW589965 TJS589965 TTO589965 UDK589965 UNG589965 UXC589965 VGY589965 VQU589965 WAQ589965 WKM589965 WUI589965 HW655501 RS655501 ABO655501 ALK655501 AVG655501 BFC655501 BOY655501 BYU655501 CIQ655501 CSM655501 DCI655501 DME655501 DWA655501 EFW655501 EPS655501 EZO655501 FJK655501 FTG655501 GDC655501 GMY655501 GWU655501 HGQ655501 HQM655501 IAI655501 IKE655501 IUA655501 JDW655501 JNS655501 JXO655501 KHK655501 KRG655501 LBC655501 LKY655501 LUU655501 MEQ655501 MOM655501 MYI655501 NIE655501 NSA655501 OBW655501 OLS655501 OVO655501 PFK655501 PPG655501 PZC655501 QIY655501 QSU655501 RCQ655501 RMM655501 RWI655501 SGE655501 SQA655501 SZW655501 TJS655501 TTO655501 UDK655501 UNG655501 UXC655501 VGY655501 VQU655501 WAQ655501 WKM655501 WUI655501 HW721037 RS721037 ABO721037 ALK721037 AVG721037 BFC721037 BOY721037 BYU721037 CIQ721037 CSM721037 DCI721037 DME721037 DWA721037 EFW721037 EPS721037 EZO721037 FJK721037 FTG721037 GDC721037 GMY721037 GWU721037 HGQ721037 HQM721037 IAI721037 IKE721037 IUA721037 JDW721037 JNS721037 JXO721037 KHK721037 KRG721037 LBC721037 LKY721037 LUU721037 MEQ721037 MOM721037 MYI721037 NIE721037 NSA721037 OBW721037 OLS721037 OVO721037 PFK721037 PPG721037 PZC721037 QIY721037 QSU721037 RCQ721037 RMM721037 RWI721037 SGE721037 SQA721037 SZW721037 TJS721037 TTO721037 UDK721037 UNG721037 UXC721037 VGY721037 VQU721037 WAQ721037 WKM721037 WUI721037 HW786573 RS786573 ABO786573 ALK786573 AVG786573 BFC786573 BOY786573 BYU786573 CIQ786573 CSM786573 DCI786573 DME786573 DWA786573 EFW786573 EPS786573 EZO786573 FJK786573 FTG786573 GDC786573 GMY786573 GWU786573 HGQ786573 HQM786573 IAI786573 IKE786573 IUA786573 JDW786573 JNS786573 JXO786573 KHK786573 KRG786573 LBC786573 LKY786573 LUU786573 MEQ786573 MOM786573 MYI786573 NIE786573 NSA786573 OBW786573 OLS786573 OVO786573 PFK786573 PPG786573 PZC786573 QIY786573 QSU786573 RCQ786573 RMM786573 RWI786573 SGE786573 SQA786573 SZW786573 TJS786573 TTO786573 UDK786573 UNG786573 UXC786573 VGY786573 VQU786573 WAQ786573 WKM786573 WUI786573 HW852109 RS852109 ABO852109 ALK852109 AVG852109 BFC852109 BOY852109 BYU852109 CIQ852109 CSM852109 DCI852109 DME852109 DWA852109 EFW852109 EPS852109 EZO852109 FJK852109 FTG852109 GDC852109 GMY852109 GWU852109 HGQ852109 HQM852109 IAI852109 IKE852109 IUA852109 JDW852109 JNS852109 JXO852109 KHK852109 KRG852109 LBC852109 LKY852109 LUU852109 MEQ852109 MOM852109 MYI852109 NIE852109 NSA852109 OBW852109 OLS852109 OVO852109 PFK852109 PPG852109 PZC852109 QIY852109 QSU852109 RCQ852109 RMM852109 RWI852109 SGE852109 SQA852109 SZW852109 TJS852109 TTO852109 UDK852109 UNG852109 UXC852109 VGY852109 VQU852109 WAQ852109 WKM852109 WUI852109 HW917645 RS917645 ABO917645 ALK917645 AVG917645 BFC917645 BOY917645 BYU917645 CIQ917645 CSM917645 DCI917645 DME917645 DWA917645 EFW917645 EPS917645 EZO917645 FJK917645 FTG917645 GDC917645 GMY917645 GWU917645 HGQ917645 HQM917645 IAI917645 IKE917645 IUA917645 JDW917645 JNS917645 JXO917645 KHK917645 KRG917645 LBC917645 LKY917645 LUU917645 MEQ917645 MOM917645 MYI917645 NIE917645 NSA917645 OBW917645 OLS917645 OVO917645 PFK917645 PPG917645 PZC917645 QIY917645 QSU917645 RCQ917645 RMM917645 RWI917645 SGE917645 SQA917645 SZW917645 TJS917645 TTO917645 UDK917645 UNG917645 UXC917645 VGY917645 VQU917645 WAQ917645 WKM917645 WUI917645 HW983181 RS983181 ABO983181 ALK983181 AVG983181 BFC983181 BOY983181 BYU983181 CIQ983181 CSM983181 DCI983181 DME983181 DWA983181 EFW983181 EPS983181 EZO983181 FJK983181 FTG983181 GDC983181 GMY983181 GWU983181 HGQ983181 HQM983181 IAI983181 IKE983181 IUA983181 JDW983181 JNS983181 JXO983181 KHK983181 KRG983181 LBC983181 LKY983181 LUU983181 MEQ983181 MOM983181 MYI983181 NIE983181 NSA983181 OBW983181 OLS983181 OVO983181 PFK983181 PPG983181 PZC983181 QIY983181 QSU983181 RCQ983181 RMM983181 RWI983181 SGE983181 SQA983181 SZW983181 TJS983181 TTO983181 UDK983181 UNG983181 UXC983181 VGY983181 VQU983181 WAQ983181 WKM983181 WUI983181 HW65672 RS65672 ABO65672 ALK65672 AVG65672 BFC65672 BOY65672 BYU65672 CIQ65672 CSM65672 DCI65672 DME65672 DWA65672 EFW65672 EPS65672 EZO65672 FJK65672 FTG65672 GDC65672 GMY65672 GWU65672 HGQ65672 HQM65672 IAI65672 IKE65672 IUA65672 JDW65672 JNS65672 JXO65672 KHK65672 KRG65672 LBC65672 LKY65672 LUU65672 MEQ65672 MOM65672 MYI65672 NIE65672 NSA65672 OBW65672 OLS65672 OVO65672 PFK65672 PPG65672 PZC65672 QIY65672 QSU65672 RCQ65672 RMM65672 RWI65672 SGE65672 SQA65672 SZW65672 TJS65672 TTO65672 UDK65672 UNG65672 UXC65672 VGY65672 VQU65672 WAQ65672 WKM65672 WUI65672 HW131208 RS131208 ABO131208 ALK131208 AVG131208 BFC131208 BOY131208 BYU131208 CIQ131208 CSM131208 DCI131208 DME131208 DWA131208 EFW131208 EPS131208 EZO131208 FJK131208 FTG131208 GDC131208 GMY131208 GWU131208 HGQ131208 HQM131208 IAI131208 IKE131208 IUA131208 JDW131208 JNS131208 JXO131208 KHK131208 KRG131208 LBC131208 LKY131208 LUU131208 MEQ131208 MOM131208 MYI131208 NIE131208 NSA131208 OBW131208 OLS131208 OVO131208 PFK131208 PPG131208 PZC131208 QIY131208 QSU131208 RCQ131208 RMM131208 RWI131208 SGE131208 SQA131208 SZW131208 TJS131208 TTO131208 UDK131208 UNG131208 UXC131208 VGY131208 VQU131208 WAQ131208 WKM131208 WUI131208 HW196744 RS196744 ABO196744 ALK196744 AVG196744 BFC196744 BOY196744 BYU196744 CIQ196744 CSM196744 DCI196744 DME196744 DWA196744 EFW196744 EPS196744 EZO196744 FJK196744 FTG196744 GDC196744 GMY196744 GWU196744 HGQ196744 HQM196744 IAI196744 IKE196744 IUA196744 JDW196744 JNS196744 JXO196744 KHK196744 KRG196744 LBC196744 LKY196744 LUU196744 MEQ196744 MOM196744 MYI196744 NIE196744 NSA196744 OBW196744 OLS196744 OVO196744 PFK196744 PPG196744 PZC196744 QIY196744 QSU196744 RCQ196744 RMM196744 RWI196744 SGE196744 SQA196744 SZW196744 TJS196744 TTO196744 UDK196744 UNG196744 UXC196744 VGY196744 VQU196744 WAQ196744 WKM196744 WUI196744 HW262280 RS262280 ABO262280 ALK262280 AVG262280 BFC262280 BOY262280 BYU262280 CIQ262280 CSM262280 DCI262280 DME262280 DWA262280 EFW262280 EPS262280 EZO262280 FJK262280 FTG262280 GDC262280 GMY262280 GWU262280 HGQ262280 HQM262280 IAI262280 IKE262280 IUA262280 JDW262280 JNS262280 JXO262280 KHK262280 KRG262280 LBC262280 LKY262280 LUU262280 MEQ262280 MOM262280 MYI262280 NIE262280 NSA262280 OBW262280 OLS262280 OVO262280 PFK262280 PPG262280 PZC262280 QIY262280 QSU262280 RCQ262280 RMM262280 RWI262280 SGE262280 SQA262280 SZW262280 TJS262280 TTO262280 UDK262280 UNG262280 UXC262280 VGY262280 VQU262280 WAQ262280 WKM262280 WUI262280 HW327816 RS327816 ABO327816 ALK327816 AVG327816 BFC327816 BOY327816 BYU327816 CIQ327816 CSM327816 DCI327816 DME327816 DWA327816 EFW327816 EPS327816 EZO327816 FJK327816 FTG327816 GDC327816 GMY327816 GWU327816 HGQ327816 HQM327816 IAI327816 IKE327816 IUA327816 JDW327816 JNS327816 JXO327816 KHK327816 KRG327816 LBC327816 LKY327816 LUU327816 MEQ327816 MOM327816 MYI327816 NIE327816 NSA327816 OBW327816 OLS327816 OVO327816 PFK327816 PPG327816 PZC327816 QIY327816 QSU327816 RCQ327816 RMM327816 RWI327816 SGE327816 SQA327816 SZW327816 TJS327816 TTO327816 UDK327816 UNG327816 UXC327816 VGY327816 VQU327816 WAQ327816 WKM327816 WUI327816 HW393352 RS393352 ABO393352 ALK393352 AVG393352 BFC393352 BOY393352 BYU393352 CIQ393352 CSM393352 DCI393352 DME393352 DWA393352 EFW393352 EPS393352 EZO393352 FJK393352 FTG393352 GDC393352 GMY393352 GWU393352 HGQ393352 HQM393352 IAI393352 IKE393352 IUA393352 JDW393352 JNS393352 JXO393352 KHK393352 KRG393352 LBC393352 LKY393352 LUU393352 MEQ393352 MOM393352 MYI393352 NIE393352 NSA393352 OBW393352 OLS393352 OVO393352 PFK393352 PPG393352 PZC393352 QIY393352 QSU393352 RCQ393352 RMM393352 RWI393352 SGE393352 SQA393352 SZW393352 TJS393352 TTO393352 UDK393352 UNG393352 UXC393352 VGY393352 VQU393352 WAQ393352 WKM393352 WUI393352 HW458888 RS458888 ABO458888 ALK458888 AVG458888 BFC458888 BOY458888 BYU458888 CIQ458888 CSM458888 DCI458888 DME458888 DWA458888 EFW458888 EPS458888 EZO458888 FJK458888 FTG458888 GDC458888 GMY458888 GWU458888 HGQ458888 HQM458888 IAI458888 IKE458888 IUA458888 JDW458888 JNS458888 JXO458888 KHK458888 KRG458888 LBC458888 LKY458888 LUU458888 MEQ458888 MOM458888 MYI458888 NIE458888 NSA458888 OBW458888 OLS458888 OVO458888 PFK458888 PPG458888 PZC458888 QIY458888 QSU458888 RCQ458888 RMM458888 RWI458888 SGE458888 SQA458888 SZW458888 TJS458888 TTO458888 UDK458888 UNG458888 UXC458888 VGY458888 VQU458888 WAQ458888 WKM458888 WUI458888 HW524424 RS524424 ABO524424 ALK524424 AVG524424 BFC524424 BOY524424 BYU524424 CIQ524424 CSM524424 DCI524424 DME524424 DWA524424 EFW524424 EPS524424 EZO524424 FJK524424 FTG524424 GDC524424 GMY524424 GWU524424 HGQ524424 HQM524424 IAI524424 IKE524424 IUA524424 JDW524424 JNS524424 JXO524424 KHK524424 KRG524424 LBC524424 LKY524424 LUU524424 MEQ524424 MOM524424 MYI524424 NIE524424 NSA524424 OBW524424 OLS524424 OVO524424 PFK524424 PPG524424 PZC524424 QIY524424 QSU524424 RCQ524424 RMM524424 RWI524424 SGE524424 SQA524424 SZW524424 TJS524424 TTO524424 UDK524424 UNG524424 UXC524424 VGY524424 VQU524424 WAQ524424 WKM524424 WUI524424 HW589960 RS589960 ABO589960 ALK589960 AVG589960 BFC589960 BOY589960 BYU589960 CIQ589960 CSM589960 DCI589960 DME589960 DWA589960 EFW589960 EPS589960 EZO589960 FJK589960 FTG589960 GDC589960 GMY589960 GWU589960 HGQ589960 HQM589960 IAI589960 IKE589960 IUA589960 JDW589960 JNS589960 JXO589960 KHK589960 KRG589960 LBC589960 LKY589960 LUU589960 MEQ589960 MOM589960 MYI589960 NIE589960 NSA589960 OBW589960 OLS589960 OVO589960 PFK589960 PPG589960 PZC589960 QIY589960 QSU589960 RCQ589960 RMM589960 RWI589960 SGE589960 SQA589960 SZW589960 TJS589960 TTO589960 UDK589960 UNG589960 UXC589960 VGY589960 VQU589960 WAQ589960 WKM589960 WUI589960 HW655496 RS655496 ABO655496 ALK655496 AVG655496 BFC655496 BOY655496 BYU655496 CIQ655496 CSM655496 DCI655496 DME655496 DWA655496 EFW655496 EPS655496 EZO655496 FJK655496 FTG655496 GDC655496 GMY655496 GWU655496 HGQ655496 HQM655496 IAI655496 IKE655496 IUA655496 JDW655496 JNS655496 JXO655496 KHK655496 KRG655496 LBC655496 LKY655496 LUU655496 MEQ655496 MOM655496 MYI655496 NIE655496 NSA655496 OBW655496 OLS655496 OVO655496 PFK655496 PPG655496 PZC655496 QIY655496 QSU655496 RCQ655496 RMM655496 RWI655496 SGE655496 SQA655496 SZW655496 TJS655496 TTO655496 UDK655496 UNG655496 UXC655496 VGY655496 VQU655496 WAQ655496 WKM655496 WUI655496 HW721032 RS721032 ABO721032 ALK721032 AVG721032 BFC721032 BOY721032 BYU721032 CIQ721032 CSM721032 DCI721032 DME721032 DWA721032 EFW721032 EPS721032 EZO721032 FJK721032 FTG721032 GDC721032 GMY721032 GWU721032 HGQ721032 HQM721032 IAI721032 IKE721032 IUA721032 JDW721032 JNS721032 JXO721032 KHK721032 KRG721032 LBC721032 LKY721032 LUU721032 MEQ721032 MOM721032 MYI721032 NIE721032 NSA721032 OBW721032 OLS721032 OVO721032 PFK721032 PPG721032 PZC721032 QIY721032 QSU721032 RCQ721032 RMM721032 RWI721032 SGE721032 SQA721032 SZW721032 TJS721032 TTO721032 UDK721032 UNG721032 UXC721032 VGY721032 VQU721032 WAQ721032 WKM721032 WUI721032 HW786568 RS786568 ABO786568 ALK786568 AVG786568 BFC786568 BOY786568 BYU786568 CIQ786568 CSM786568 DCI786568 DME786568 DWA786568 EFW786568 EPS786568 EZO786568 FJK786568 FTG786568 GDC786568 GMY786568 GWU786568 HGQ786568 HQM786568 IAI786568 IKE786568 IUA786568 JDW786568 JNS786568 JXO786568 KHK786568 KRG786568 LBC786568 LKY786568 LUU786568 MEQ786568 MOM786568 MYI786568 NIE786568 NSA786568 OBW786568 OLS786568 OVO786568 PFK786568 PPG786568 PZC786568 QIY786568 QSU786568 RCQ786568 RMM786568 RWI786568 SGE786568 SQA786568 SZW786568 TJS786568 TTO786568 UDK786568 UNG786568 UXC786568 VGY786568 VQU786568 WAQ786568 WKM786568 WUI786568 HW852104 RS852104 ABO852104 ALK852104 AVG852104 BFC852104 BOY852104 BYU852104 CIQ852104 CSM852104 DCI852104 DME852104 DWA852104 EFW852104 EPS852104 EZO852104 FJK852104 FTG852104 GDC852104 GMY852104 GWU852104 HGQ852104 HQM852104 IAI852104 IKE852104 IUA852104 JDW852104 JNS852104 JXO852104 KHK852104 KRG852104 LBC852104 LKY852104 LUU852104 MEQ852104 MOM852104 MYI852104 NIE852104 NSA852104 OBW852104 OLS852104 OVO852104 PFK852104 PPG852104 PZC852104 QIY852104 QSU852104 RCQ852104 RMM852104 RWI852104 SGE852104 SQA852104 SZW852104 TJS852104 TTO852104 UDK852104 UNG852104 UXC852104 VGY852104 VQU852104 WAQ852104 WKM852104 WUI852104 HW917640 RS917640 ABO917640 ALK917640 AVG917640 BFC917640 BOY917640 BYU917640 CIQ917640 CSM917640 DCI917640 DME917640 DWA917640 EFW917640 EPS917640 EZO917640 FJK917640 FTG917640 GDC917640 GMY917640 GWU917640 HGQ917640 HQM917640 IAI917640 IKE917640 IUA917640 JDW917640 JNS917640 JXO917640 KHK917640 KRG917640 LBC917640 LKY917640 LUU917640 MEQ917640 MOM917640 MYI917640 NIE917640 NSA917640 OBW917640 OLS917640 OVO917640 PFK917640 PPG917640 PZC917640 QIY917640 QSU917640 RCQ917640 RMM917640 RWI917640 SGE917640 SQA917640 SZW917640 TJS917640 TTO917640 UDK917640 UNG917640 UXC917640 VGY917640 VQU917640 WAQ917640 WKM917640 WUI917640 HW983176 RS983176 ABO983176 ALK983176 AVG983176 BFC983176 BOY983176 BYU983176 CIQ983176 CSM983176 DCI983176 DME983176 DWA983176 EFW983176 EPS983176 EZO983176 FJK983176 FTG983176 GDC983176 GMY983176 GWU983176 HGQ983176 HQM983176 IAI983176 IKE983176 IUA983176 JDW983176 JNS983176 JXO983176 KHK983176 KRG983176 LBC983176 LKY983176 LUU983176 MEQ983176 MOM983176 MYI983176 NIE983176 NSA983176 OBW983176 OLS983176 OVO983176 PFK983176 PPG983176 PZC983176 QIY983176 QSU983176 RCQ983176 RMM983176 RWI983176 SGE983176 SQA983176 SZW983176 TJS983176 TTO983176 UDK983176 UNG983176 UXC983176 VGY983176 VQU983176 WAQ983176 WKM983176 WUI983176 E983176 E917640 E852104 E786568 E721032 E655496 E589960 E524424 E458888 E393352 E327816 E262280 E196744 E131208 E65672 E983181 E917645 E852109 E786573 E721037 E655501 E589965 E524429 E458893 E393357 E327821 E262285 E196749 E131213 E65677 E983170 E917634 E852098 E786562 E721026 E655490 E589954 E524418 E458882 E393346 E327810 E262274 E196738 E131202" xr:uid="{00000000-0002-0000-0400-000000000000}">
      <formula1>"Yes,No"</formula1>
    </dataValidation>
  </dataValidations>
  <pageMargins left="0.7" right="0.7" top="0.75" bottom="0.75" header="0.3" footer="0.3"/>
  <pageSetup orientation="portrait" horizontalDpi="4294967293" r:id="rId1"/>
  <ignoredErrors>
    <ignoredError sqref="E105"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K161"/>
  <sheetViews>
    <sheetView showGridLines="0" zoomScale="70" zoomScaleNormal="70" workbookViewId="0">
      <pane xSplit="1" ySplit="3" topLeftCell="B4" activePane="bottomRight" state="frozen"/>
      <selection pane="topRight" activeCell="B1" sqref="B1"/>
      <selection pane="bottomLeft" activeCell="A4" sqref="A4"/>
      <selection pane="bottomRight" activeCell="E133" sqref="E133"/>
    </sheetView>
  </sheetViews>
  <sheetFormatPr baseColWidth="10" defaultColWidth="9.6640625" defaultRowHeight="15"/>
  <cols>
    <col min="1" max="1" width="2.6640625" customWidth="1"/>
    <col min="2" max="2" width="69.6640625" customWidth="1"/>
    <col min="3" max="4" width="15.6640625" customWidth="1"/>
    <col min="5" max="5" width="48.1640625" customWidth="1"/>
    <col min="6" max="7" width="13.6640625" customWidth="1"/>
    <col min="8" max="11" width="25.83203125" customWidth="1"/>
  </cols>
  <sheetData>
    <row r="1" spans="2:10" ht="16" thickBot="1">
      <c r="D1" s="48"/>
      <c r="F1" s="49"/>
    </row>
    <row r="2" spans="2:10" ht="30" customHeight="1" thickBot="1">
      <c r="B2" s="76" t="s">
        <v>189</v>
      </c>
      <c r="C2" s="52"/>
      <c r="D2" s="77"/>
      <c r="E2" s="53"/>
      <c r="F2" s="49"/>
      <c r="G2" s="921" t="s">
        <v>89</v>
      </c>
      <c r="H2" s="921"/>
      <c r="I2" s="921"/>
      <c r="J2" s="297"/>
    </row>
    <row r="3" spans="2:10" ht="19" thickBot="1">
      <c r="B3" s="78" t="s">
        <v>145</v>
      </c>
      <c r="C3" s="79"/>
      <c r="D3" s="80"/>
      <c r="E3" s="84"/>
      <c r="F3" s="49"/>
      <c r="G3" s="297"/>
      <c r="H3" s="297"/>
      <c r="I3" s="297"/>
      <c r="J3" s="297"/>
    </row>
    <row r="4" spans="2:10" s="467" customFormat="1" ht="35" thickBot="1">
      <c r="B4" s="494" t="str">
        <f>Inputs!E23</f>
        <v>Exploration Costs Attributed to Project</v>
      </c>
      <c r="C4" s="471" t="s">
        <v>0</v>
      </c>
      <c r="D4" s="89" t="s">
        <v>87</v>
      </c>
      <c r="E4" s="82" t="s">
        <v>143</v>
      </c>
      <c r="F4" s="49"/>
      <c r="G4" s="297"/>
      <c r="H4" s="297"/>
      <c r="I4" s="297"/>
      <c r="J4" s="297"/>
    </row>
    <row r="5" spans="2:10" s="467" customFormat="1" ht="16">
      <c r="B5" s="472" t="s">
        <v>507</v>
      </c>
      <c r="C5" s="119">
        <v>250000</v>
      </c>
      <c r="D5" s="117">
        <v>1</v>
      </c>
      <c r="E5" s="287" t="s">
        <v>19</v>
      </c>
      <c r="F5" s="49"/>
      <c r="G5" s="297"/>
      <c r="H5" s="297"/>
      <c r="I5" s="297"/>
      <c r="J5" s="297"/>
    </row>
    <row r="6" spans="2:10" s="467" customFormat="1" ht="16">
      <c r="B6" s="472" t="s">
        <v>508</v>
      </c>
      <c r="C6" s="119">
        <v>650000</v>
      </c>
      <c r="D6" s="117">
        <v>1</v>
      </c>
      <c r="E6" s="287" t="s">
        <v>19</v>
      </c>
      <c r="F6" s="49"/>
      <c r="G6" s="297"/>
      <c r="H6" s="297"/>
      <c r="I6" s="297"/>
      <c r="J6" s="297"/>
    </row>
    <row r="7" spans="2:10" s="467" customFormat="1" ht="16">
      <c r="B7" s="472" t="s">
        <v>509</v>
      </c>
      <c r="C7" s="119">
        <v>7500000</v>
      </c>
      <c r="D7" s="117">
        <v>1</v>
      </c>
      <c r="E7" s="287" t="s">
        <v>19</v>
      </c>
      <c r="F7" s="49"/>
      <c r="G7" s="297"/>
      <c r="H7" s="297"/>
      <c r="I7" s="297"/>
      <c r="J7" s="297"/>
    </row>
    <row r="8" spans="2:10" s="467" customFormat="1" ht="16">
      <c r="B8" s="472" t="s">
        <v>88</v>
      </c>
      <c r="C8" s="119">
        <v>0</v>
      </c>
      <c r="D8" s="117">
        <v>1</v>
      </c>
      <c r="E8" s="287" t="s">
        <v>19</v>
      </c>
      <c r="F8" s="49"/>
      <c r="G8" s="297"/>
      <c r="H8" s="297"/>
      <c r="I8" s="297"/>
      <c r="J8" s="297"/>
    </row>
    <row r="9" spans="2:10" s="467" customFormat="1" ht="16">
      <c r="B9" s="472" t="s">
        <v>88</v>
      </c>
      <c r="C9" s="119">
        <v>0</v>
      </c>
      <c r="D9" s="117">
        <v>1</v>
      </c>
      <c r="E9" s="287" t="s">
        <v>19</v>
      </c>
      <c r="F9" s="49"/>
      <c r="G9" s="297"/>
      <c r="H9" s="297"/>
      <c r="I9" s="297"/>
      <c r="J9" s="297"/>
    </row>
    <row r="10" spans="2:10" s="467" customFormat="1" ht="16">
      <c r="B10" s="472" t="s">
        <v>88</v>
      </c>
      <c r="C10" s="119">
        <v>0</v>
      </c>
      <c r="D10" s="117">
        <v>1</v>
      </c>
      <c r="E10" s="287" t="s">
        <v>19</v>
      </c>
      <c r="F10" s="49"/>
      <c r="G10" s="297"/>
      <c r="H10" s="297"/>
      <c r="I10" s="297"/>
      <c r="J10" s="297"/>
    </row>
    <row r="11" spans="2:10" s="467" customFormat="1" ht="16">
      <c r="B11" s="472" t="s">
        <v>88</v>
      </c>
      <c r="C11" s="119">
        <v>0</v>
      </c>
      <c r="D11" s="117">
        <v>1</v>
      </c>
      <c r="E11" s="287" t="s">
        <v>19</v>
      </c>
      <c r="F11" s="49"/>
      <c r="G11" s="297"/>
      <c r="H11" s="297"/>
      <c r="I11" s="297"/>
      <c r="J11" s="297"/>
    </row>
    <row r="12" spans="2:10" s="467" customFormat="1" ht="16">
      <c r="B12" s="472" t="s">
        <v>88</v>
      </c>
      <c r="C12" s="119">
        <v>0</v>
      </c>
      <c r="D12" s="117">
        <v>1</v>
      </c>
      <c r="E12" s="287" t="s">
        <v>19</v>
      </c>
      <c r="F12" s="49"/>
      <c r="G12" s="297"/>
      <c r="H12" s="297"/>
      <c r="I12" s="297"/>
      <c r="J12" s="297"/>
    </row>
    <row r="13" spans="2:10" s="467" customFormat="1" ht="16">
      <c r="B13" s="472" t="s">
        <v>88</v>
      </c>
      <c r="C13" s="119">
        <v>0</v>
      </c>
      <c r="D13" s="117">
        <v>1</v>
      </c>
      <c r="E13" s="287" t="s">
        <v>19</v>
      </c>
      <c r="F13" s="49"/>
      <c r="G13" s="297"/>
      <c r="H13" s="297"/>
      <c r="I13" s="297"/>
      <c r="J13" s="297"/>
    </row>
    <row r="14" spans="2:10" s="467" customFormat="1" ht="16">
      <c r="B14" s="472" t="s">
        <v>88</v>
      </c>
      <c r="C14" s="119">
        <v>0</v>
      </c>
      <c r="D14" s="117">
        <v>1</v>
      </c>
      <c r="E14" s="287" t="s">
        <v>19</v>
      </c>
      <c r="F14" s="49"/>
      <c r="G14" s="297"/>
      <c r="H14" s="297"/>
      <c r="I14" s="297"/>
      <c r="J14" s="297"/>
    </row>
    <row r="15" spans="2:10" s="467" customFormat="1" ht="16">
      <c r="B15" s="472" t="s">
        <v>88</v>
      </c>
      <c r="C15" s="119">
        <v>0</v>
      </c>
      <c r="D15" s="117">
        <v>1</v>
      </c>
      <c r="E15" s="287" t="s">
        <v>19</v>
      </c>
      <c r="F15" s="49"/>
      <c r="G15" s="297"/>
      <c r="H15" s="297"/>
      <c r="I15" s="297"/>
      <c r="J15" s="297"/>
    </row>
    <row r="16" spans="2:10" s="467" customFormat="1" ht="16">
      <c r="B16" s="472" t="s">
        <v>88</v>
      </c>
      <c r="C16" s="119">
        <v>0</v>
      </c>
      <c r="D16" s="117">
        <v>1</v>
      </c>
      <c r="E16" s="287" t="s">
        <v>19</v>
      </c>
      <c r="F16" s="49"/>
      <c r="G16" s="297"/>
      <c r="H16" s="297"/>
      <c r="I16" s="297"/>
      <c r="J16" s="297"/>
    </row>
    <row r="17" spans="2:10" s="467" customFormat="1" ht="16">
      <c r="B17" s="472" t="s">
        <v>88</v>
      </c>
      <c r="C17" s="119">
        <v>0</v>
      </c>
      <c r="D17" s="117">
        <v>1</v>
      </c>
      <c r="E17" s="287" t="s">
        <v>19</v>
      </c>
      <c r="F17" s="49"/>
      <c r="G17" s="297"/>
      <c r="H17" s="297"/>
      <c r="I17" s="297"/>
      <c r="J17" s="297"/>
    </row>
    <row r="18" spans="2:10" s="467" customFormat="1" ht="16">
      <c r="B18" s="472" t="s">
        <v>88</v>
      </c>
      <c r="C18" s="119">
        <v>0</v>
      </c>
      <c r="D18" s="117">
        <v>1</v>
      </c>
      <c r="E18" s="287" t="s">
        <v>19</v>
      </c>
      <c r="F18" s="49"/>
      <c r="G18" s="297"/>
      <c r="H18" s="297"/>
      <c r="I18" s="297"/>
      <c r="J18" s="297"/>
    </row>
    <row r="19" spans="2:10" s="467" customFormat="1" ht="16">
      <c r="B19" s="472" t="s">
        <v>88</v>
      </c>
      <c r="C19" s="119">
        <v>0</v>
      </c>
      <c r="D19" s="117">
        <v>1</v>
      </c>
      <c r="E19" s="287" t="s">
        <v>19</v>
      </c>
      <c r="F19" s="49"/>
      <c r="G19" s="297"/>
      <c r="H19" s="297"/>
      <c r="I19" s="297"/>
      <c r="J19" s="297"/>
    </row>
    <row r="20" spans="2:10" s="467" customFormat="1" ht="16">
      <c r="B20" s="472" t="s">
        <v>88</v>
      </c>
      <c r="C20" s="119">
        <v>0</v>
      </c>
      <c r="D20" s="117">
        <v>1</v>
      </c>
      <c r="E20" s="287" t="s">
        <v>19</v>
      </c>
      <c r="F20" s="49"/>
      <c r="G20" s="297"/>
      <c r="H20" s="297"/>
      <c r="I20" s="297"/>
      <c r="J20" s="297"/>
    </row>
    <row r="21" spans="2:10" s="467" customFormat="1" ht="16">
      <c r="B21" s="472" t="s">
        <v>88</v>
      </c>
      <c r="C21" s="119">
        <v>0</v>
      </c>
      <c r="D21" s="117">
        <v>1</v>
      </c>
      <c r="E21" s="287" t="s">
        <v>19</v>
      </c>
      <c r="F21" s="49"/>
      <c r="G21" s="297"/>
      <c r="H21" s="297"/>
      <c r="I21" s="297"/>
      <c r="J21" s="297"/>
    </row>
    <row r="22" spans="2:10" s="467" customFormat="1" ht="16">
      <c r="B22" s="472" t="s">
        <v>88</v>
      </c>
      <c r="C22" s="119">
        <v>0</v>
      </c>
      <c r="D22" s="117">
        <v>1</v>
      </c>
      <c r="E22" s="287" t="s">
        <v>19</v>
      </c>
      <c r="F22" s="49"/>
      <c r="G22" s="297"/>
      <c r="H22" s="297"/>
      <c r="I22" s="297"/>
      <c r="J22" s="297"/>
    </row>
    <row r="23" spans="2:10" s="467" customFormat="1" ht="16">
      <c r="B23" s="472" t="s">
        <v>88</v>
      </c>
      <c r="C23" s="119">
        <v>0</v>
      </c>
      <c r="D23" s="117">
        <v>1</v>
      </c>
      <c r="E23" s="287" t="s">
        <v>19</v>
      </c>
      <c r="F23" s="49"/>
      <c r="G23" s="297"/>
      <c r="H23" s="297"/>
      <c r="I23" s="297"/>
      <c r="J23" s="297"/>
    </row>
    <row r="24" spans="2:10" s="467" customFormat="1" ht="17" thickBot="1">
      <c r="B24" s="120" t="s">
        <v>88</v>
      </c>
      <c r="C24" s="121">
        <v>0</v>
      </c>
      <c r="D24" s="122">
        <v>1</v>
      </c>
      <c r="E24" s="287" t="s">
        <v>19</v>
      </c>
      <c r="F24" s="49"/>
      <c r="G24" s="297"/>
      <c r="H24" s="297"/>
      <c r="I24" s="297"/>
      <c r="J24" s="297"/>
    </row>
    <row r="25" spans="2:10" s="467" customFormat="1" ht="17" thickTop="1">
      <c r="B25" s="473" t="s">
        <v>510</v>
      </c>
      <c r="C25" s="474">
        <f>SUM(C5:C24)</f>
        <v>8400000</v>
      </c>
      <c r="D25" s="60">
        <f>SUMPRODUCT(C5:C24,D5:D24)/C25</f>
        <v>1</v>
      </c>
      <c r="E25" s="87"/>
      <c r="F25" s="49"/>
      <c r="G25" s="297"/>
      <c r="H25" s="297"/>
      <c r="I25" s="297"/>
      <c r="J25" s="297"/>
    </row>
    <row r="26" spans="2:10" ht="16" thickBot="1">
      <c r="D26" s="48"/>
      <c r="F26" s="49"/>
    </row>
    <row r="27" spans="2:10" ht="35" thickBot="1">
      <c r="B27" s="494" t="str">
        <f>Inputs!E34</f>
        <v>Confirmation Drilling Costs</v>
      </c>
      <c r="C27" s="471" t="s">
        <v>0</v>
      </c>
      <c r="D27" s="89" t="s">
        <v>87</v>
      </c>
      <c r="E27" s="82" t="s">
        <v>143</v>
      </c>
    </row>
    <row r="28" spans="2:10" ht="16">
      <c r="B28" s="472" t="s">
        <v>331</v>
      </c>
      <c r="C28" s="119">
        <v>17000000</v>
      </c>
      <c r="D28" s="117">
        <v>1</v>
      </c>
      <c r="E28" s="287" t="s">
        <v>390</v>
      </c>
    </row>
    <row r="29" spans="2:10" ht="16">
      <c r="B29" s="472" t="s">
        <v>335</v>
      </c>
      <c r="C29" s="119">
        <v>3000000</v>
      </c>
      <c r="D29" s="117">
        <v>1</v>
      </c>
      <c r="E29" s="287" t="s">
        <v>19</v>
      </c>
    </row>
    <row r="30" spans="2:10" ht="16">
      <c r="B30" s="472" t="s">
        <v>334</v>
      </c>
      <c r="C30" s="119">
        <v>1000000</v>
      </c>
      <c r="D30" s="117">
        <v>1</v>
      </c>
      <c r="E30" s="287" t="s">
        <v>19</v>
      </c>
    </row>
    <row r="31" spans="2:10" ht="16">
      <c r="B31" s="472" t="s">
        <v>88</v>
      </c>
      <c r="C31" s="119">
        <v>0</v>
      </c>
      <c r="D31" s="117">
        <v>1</v>
      </c>
      <c r="E31" s="287" t="s">
        <v>19</v>
      </c>
    </row>
    <row r="32" spans="2:10" ht="16">
      <c r="B32" s="472" t="s">
        <v>88</v>
      </c>
      <c r="C32" s="119">
        <v>0</v>
      </c>
      <c r="D32" s="117">
        <v>1</v>
      </c>
      <c r="E32" s="287" t="s">
        <v>19</v>
      </c>
    </row>
    <row r="33" spans="2:5" ht="16">
      <c r="B33" s="472" t="s">
        <v>88</v>
      </c>
      <c r="C33" s="119">
        <v>0</v>
      </c>
      <c r="D33" s="117">
        <v>1</v>
      </c>
      <c r="E33" s="287" t="s">
        <v>19</v>
      </c>
    </row>
    <row r="34" spans="2:5" ht="16">
      <c r="B34" s="472" t="s">
        <v>88</v>
      </c>
      <c r="C34" s="119">
        <v>0</v>
      </c>
      <c r="D34" s="117">
        <v>1</v>
      </c>
      <c r="E34" s="287" t="s">
        <v>19</v>
      </c>
    </row>
    <row r="35" spans="2:5" ht="16">
      <c r="B35" s="472" t="s">
        <v>88</v>
      </c>
      <c r="C35" s="119">
        <v>0</v>
      </c>
      <c r="D35" s="117">
        <v>1</v>
      </c>
      <c r="E35" s="287" t="s">
        <v>19</v>
      </c>
    </row>
    <row r="36" spans="2:5" ht="16">
      <c r="B36" s="472" t="s">
        <v>88</v>
      </c>
      <c r="C36" s="119">
        <v>0</v>
      </c>
      <c r="D36" s="117">
        <v>1</v>
      </c>
      <c r="E36" s="287" t="s">
        <v>19</v>
      </c>
    </row>
    <row r="37" spans="2:5" ht="16">
      <c r="B37" s="472" t="s">
        <v>88</v>
      </c>
      <c r="C37" s="119">
        <v>0</v>
      </c>
      <c r="D37" s="117">
        <v>1</v>
      </c>
      <c r="E37" s="287" t="s">
        <v>19</v>
      </c>
    </row>
    <row r="38" spans="2:5" ht="16">
      <c r="B38" s="472" t="s">
        <v>88</v>
      </c>
      <c r="C38" s="119">
        <v>0</v>
      </c>
      <c r="D38" s="117">
        <v>1</v>
      </c>
      <c r="E38" s="287" t="s">
        <v>19</v>
      </c>
    </row>
    <row r="39" spans="2:5" ht="16">
      <c r="B39" s="472" t="s">
        <v>88</v>
      </c>
      <c r="C39" s="119">
        <v>0</v>
      </c>
      <c r="D39" s="117">
        <v>1</v>
      </c>
      <c r="E39" s="287" t="s">
        <v>19</v>
      </c>
    </row>
    <row r="40" spans="2:5" ht="16">
      <c r="B40" s="472" t="s">
        <v>88</v>
      </c>
      <c r="C40" s="119">
        <v>0</v>
      </c>
      <c r="D40" s="117">
        <v>1</v>
      </c>
      <c r="E40" s="287" t="s">
        <v>19</v>
      </c>
    </row>
    <row r="41" spans="2:5" ht="16">
      <c r="B41" s="472" t="s">
        <v>88</v>
      </c>
      <c r="C41" s="119">
        <v>0</v>
      </c>
      <c r="D41" s="117">
        <v>1</v>
      </c>
      <c r="E41" s="287" t="s">
        <v>19</v>
      </c>
    </row>
    <row r="42" spans="2:5" ht="16">
      <c r="B42" s="472" t="s">
        <v>88</v>
      </c>
      <c r="C42" s="119">
        <v>0</v>
      </c>
      <c r="D42" s="117">
        <v>1</v>
      </c>
      <c r="E42" s="287" t="s">
        <v>19</v>
      </c>
    </row>
    <row r="43" spans="2:5" ht="16">
      <c r="B43" s="472" t="s">
        <v>88</v>
      </c>
      <c r="C43" s="119">
        <v>0</v>
      </c>
      <c r="D43" s="117">
        <v>1</v>
      </c>
      <c r="E43" s="287" t="s">
        <v>19</v>
      </c>
    </row>
    <row r="44" spans="2:5" ht="16">
      <c r="B44" s="472" t="s">
        <v>88</v>
      </c>
      <c r="C44" s="119">
        <v>0</v>
      </c>
      <c r="D44" s="117">
        <v>1</v>
      </c>
      <c r="E44" s="287" t="s">
        <v>19</v>
      </c>
    </row>
    <row r="45" spans="2:5" ht="16">
      <c r="B45" s="472" t="s">
        <v>88</v>
      </c>
      <c r="C45" s="119">
        <v>0</v>
      </c>
      <c r="D45" s="117">
        <v>1</v>
      </c>
      <c r="E45" s="287" t="s">
        <v>19</v>
      </c>
    </row>
    <row r="46" spans="2:5" ht="16">
      <c r="B46" s="472" t="s">
        <v>88</v>
      </c>
      <c r="C46" s="119">
        <v>0</v>
      </c>
      <c r="D46" s="117">
        <v>1</v>
      </c>
      <c r="E46" s="287" t="s">
        <v>19</v>
      </c>
    </row>
    <row r="47" spans="2:5" ht="17" thickBot="1">
      <c r="B47" s="120" t="s">
        <v>88</v>
      </c>
      <c r="C47" s="121">
        <v>0</v>
      </c>
      <c r="D47" s="122">
        <v>1</v>
      </c>
      <c r="E47" s="287" t="s">
        <v>19</v>
      </c>
    </row>
    <row r="48" spans="2:5" ht="30" customHeight="1" thickTop="1">
      <c r="B48" s="473" t="s">
        <v>480</v>
      </c>
      <c r="C48" s="474">
        <f>SUM(C28:C47)</f>
        <v>21000000</v>
      </c>
      <c r="D48" s="60">
        <f>SUMPRODUCT(C28:C47,D28:D47)/C48</f>
        <v>1</v>
      </c>
      <c r="E48" s="87"/>
    </row>
    <row r="49" spans="2:5" ht="16.5" customHeight="1">
      <c r="B49" s="93"/>
      <c r="C49" s="94"/>
      <c r="D49" s="83"/>
      <c r="E49" s="10"/>
    </row>
    <row r="50" spans="2:5" ht="30" customHeight="1">
      <c r="B50" s="57" t="s">
        <v>89</v>
      </c>
      <c r="C50" s="94"/>
      <c r="D50" s="83"/>
      <c r="E50" s="10"/>
    </row>
    <row r="51" spans="2:5" s="7" customFormat="1" ht="17" thickBot="1">
      <c r="B51" s="95"/>
      <c r="C51" s="96"/>
      <c r="D51" s="97"/>
      <c r="E51" s="92"/>
    </row>
    <row r="52" spans="2:5" ht="30" customHeight="1" thickBot="1">
      <c r="B52" s="494" t="str">
        <f>Inputs!E58</f>
        <v>Production Well Field</v>
      </c>
      <c r="C52" s="88" t="s">
        <v>0</v>
      </c>
      <c r="D52" s="89" t="s">
        <v>87</v>
      </c>
      <c r="E52" s="82" t="s">
        <v>143</v>
      </c>
    </row>
    <row r="53" spans="2:5" ht="16">
      <c r="B53" s="472" t="s">
        <v>332</v>
      </c>
      <c r="C53" s="119">
        <v>35000000</v>
      </c>
      <c r="D53" s="117">
        <v>1</v>
      </c>
      <c r="E53" s="287" t="s">
        <v>390</v>
      </c>
    </row>
    <row r="54" spans="2:5" ht="16">
      <c r="B54" s="472" t="s">
        <v>333</v>
      </c>
      <c r="C54" s="119">
        <v>25000000</v>
      </c>
      <c r="D54" s="117">
        <v>1</v>
      </c>
      <c r="E54" s="287" t="s">
        <v>390</v>
      </c>
    </row>
    <row r="55" spans="2:5" ht="16">
      <c r="B55" s="472" t="s">
        <v>88</v>
      </c>
      <c r="C55" s="119">
        <v>0</v>
      </c>
      <c r="D55" s="117">
        <v>1</v>
      </c>
      <c r="E55" s="287" t="s">
        <v>19</v>
      </c>
    </row>
    <row r="56" spans="2:5" ht="16">
      <c r="B56" s="472" t="s">
        <v>88</v>
      </c>
      <c r="C56" s="119">
        <v>0</v>
      </c>
      <c r="D56" s="117">
        <v>1</v>
      </c>
      <c r="E56" s="287" t="s">
        <v>19</v>
      </c>
    </row>
    <row r="57" spans="2:5" ht="16">
      <c r="B57" s="472" t="s">
        <v>88</v>
      </c>
      <c r="C57" s="119">
        <v>0</v>
      </c>
      <c r="D57" s="117">
        <v>1</v>
      </c>
      <c r="E57" s="287" t="s">
        <v>19</v>
      </c>
    </row>
    <row r="58" spans="2:5" ht="16">
      <c r="B58" s="472" t="s">
        <v>88</v>
      </c>
      <c r="C58" s="119">
        <v>0</v>
      </c>
      <c r="D58" s="117">
        <v>1</v>
      </c>
      <c r="E58" s="287" t="s">
        <v>19</v>
      </c>
    </row>
    <row r="59" spans="2:5" ht="16">
      <c r="B59" s="472" t="s">
        <v>88</v>
      </c>
      <c r="C59" s="119">
        <v>0</v>
      </c>
      <c r="D59" s="117">
        <v>1</v>
      </c>
      <c r="E59" s="287" t="s">
        <v>19</v>
      </c>
    </row>
    <row r="60" spans="2:5" ht="16">
      <c r="B60" s="472" t="s">
        <v>88</v>
      </c>
      <c r="C60" s="119">
        <v>0</v>
      </c>
      <c r="D60" s="117">
        <v>1</v>
      </c>
      <c r="E60" s="287" t="s">
        <v>19</v>
      </c>
    </row>
    <row r="61" spans="2:5" ht="16">
      <c r="B61" s="118" t="s">
        <v>88</v>
      </c>
      <c r="C61" s="119">
        <v>0</v>
      </c>
      <c r="D61" s="117">
        <v>1</v>
      </c>
      <c r="E61" s="287" t="s">
        <v>19</v>
      </c>
    </row>
    <row r="62" spans="2:5" ht="16">
      <c r="B62" s="118" t="s">
        <v>88</v>
      </c>
      <c r="C62" s="119">
        <v>0</v>
      </c>
      <c r="D62" s="117">
        <v>1</v>
      </c>
      <c r="E62" s="287" t="s">
        <v>19</v>
      </c>
    </row>
    <row r="63" spans="2:5" ht="16">
      <c r="B63" s="118" t="s">
        <v>88</v>
      </c>
      <c r="C63" s="119">
        <v>0</v>
      </c>
      <c r="D63" s="117">
        <v>1</v>
      </c>
      <c r="E63" s="287" t="s">
        <v>19</v>
      </c>
    </row>
    <row r="64" spans="2:5" ht="16">
      <c r="B64" s="118" t="s">
        <v>88</v>
      </c>
      <c r="C64" s="119">
        <v>0</v>
      </c>
      <c r="D64" s="117">
        <v>1</v>
      </c>
      <c r="E64" s="287" t="s">
        <v>19</v>
      </c>
    </row>
    <row r="65" spans="2:5" ht="16">
      <c r="B65" s="118" t="s">
        <v>88</v>
      </c>
      <c r="C65" s="119">
        <v>0</v>
      </c>
      <c r="D65" s="117">
        <v>1</v>
      </c>
      <c r="E65" s="287" t="s">
        <v>19</v>
      </c>
    </row>
    <row r="66" spans="2:5" ht="16">
      <c r="B66" s="118" t="s">
        <v>88</v>
      </c>
      <c r="C66" s="119">
        <v>0</v>
      </c>
      <c r="D66" s="117">
        <v>1</v>
      </c>
      <c r="E66" s="287" t="s">
        <v>19</v>
      </c>
    </row>
    <row r="67" spans="2:5" ht="16">
      <c r="B67" s="118" t="s">
        <v>88</v>
      </c>
      <c r="C67" s="119">
        <v>0</v>
      </c>
      <c r="D67" s="117">
        <v>1</v>
      </c>
      <c r="E67" s="287" t="s">
        <v>19</v>
      </c>
    </row>
    <row r="68" spans="2:5" ht="16">
      <c r="B68" s="118" t="s">
        <v>88</v>
      </c>
      <c r="C68" s="119">
        <v>0</v>
      </c>
      <c r="D68" s="117">
        <v>1</v>
      </c>
      <c r="E68" s="287" t="s">
        <v>19</v>
      </c>
    </row>
    <row r="69" spans="2:5" ht="16">
      <c r="B69" s="118" t="s">
        <v>88</v>
      </c>
      <c r="C69" s="119">
        <v>0</v>
      </c>
      <c r="D69" s="117">
        <v>1</v>
      </c>
      <c r="E69" s="287" t="s">
        <v>19</v>
      </c>
    </row>
    <row r="70" spans="2:5" ht="16">
      <c r="B70" s="118" t="s">
        <v>88</v>
      </c>
      <c r="C70" s="119">
        <v>0</v>
      </c>
      <c r="D70" s="117">
        <v>1</v>
      </c>
      <c r="E70" s="287" t="s">
        <v>19</v>
      </c>
    </row>
    <row r="71" spans="2:5" ht="16">
      <c r="B71" s="118" t="s">
        <v>88</v>
      </c>
      <c r="C71" s="119">
        <v>0</v>
      </c>
      <c r="D71" s="117">
        <v>1</v>
      </c>
      <c r="E71" s="287" t="s">
        <v>19</v>
      </c>
    </row>
    <row r="72" spans="2:5" ht="17" thickBot="1">
      <c r="B72" s="120" t="s">
        <v>88</v>
      </c>
      <c r="C72" s="121">
        <v>0</v>
      </c>
      <c r="D72" s="122">
        <v>1</v>
      </c>
      <c r="E72" s="287" t="s">
        <v>19</v>
      </c>
    </row>
    <row r="73" spans="2:5" ht="30" customHeight="1" thickTop="1">
      <c r="B73" s="473" t="s">
        <v>497</v>
      </c>
      <c r="C73" s="86">
        <f>SUM(C53:C72)</f>
        <v>60000000</v>
      </c>
      <c r="D73" s="60">
        <f>SUMPRODUCT(C53:C72,D53:D72)/C73</f>
        <v>1</v>
      </c>
      <c r="E73" s="56"/>
    </row>
    <row r="74" spans="2:5" s="467" customFormat="1" ht="30" customHeight="1">
      <c r="B74" s="54" t="s">
        <v>498</v>
      </c>
      <c r="C74" s="108">
        <f>C73/(Inputs!$G$6*1000)</f>
        <v>4000</v>
      </c>
      <c r="D74" s="800"/>
      <c r="E74" s="87"/>
    </row>
    <row r="76" spans="2:5" ht="30" customHeight="1">
      <c r="B76" s="57" t="s">
        <v>89</v>
      </c>
    </row>
    <row r="77" spans="2:5" ht="16" thickBot="1"/>
    <row r="78" spans="2:5" ht="35" thickBot="1">
      <c r="B78" s="50" t="str">
        <f>Inputs!E65</f>
        <v>Power Plant &amp; Interconnection</v>
      </c>
      <c r="C78" s="88" t="s">
        <v>0</v>
      </c>
      <c r="D78" s="89" t="s">
        <v>87</v>
      </c>
      <c r="E78" s="82" t="s">
        <v>143</v>
      </c>
    </row>
    <row r="79" spans="2:5" ht="16">
      <c r="B79" s="472" t="s">
        <v>346</v>
      </c>
      <c r="C79" s="119">
        <v>75000000</v>
      </c>
      <c r="D79" s="117">
        <v>1</v>
      </c>
      <c r="E79" s="287" t="s">
        <v>19</v>
      </c>
    </row>
    <row r="80" spans="2:5" ht="16">
      <c r="B80" s="476" t="s">
        <v>88</v>
      </c>
      <c r="C80" s="289">
        <v>0</v>
      </c>
      <c r="D80" s="117">
        <v>1</v>
      </c>
      <c r="E80" s="287" t="s">
        <v>19</v>
      </c>
    </row>
    <row r="81" spans="2:5" ht="16">
      <c r="B81" s="476" t="s">
        <v>88</v>
      </c>
      <c r="C81" s="289">
        <v>0</v>
      </c>
      <c r="D81" s="117">
        <v>1</v>
      </c>
      <c r="E81" s="287" t="s">
        <v>19</v>
      </c>
    </row>
    <row r="82" spans="2:5" ht="16">
      <c r="B82" s="476" t="s">
        <v>88</v>
      </c>
      <c r="C82" s="289">
        <v>0</v>
      </c>
      <c r="D82" s="117">
        <v>1</v>
      </c>
      <c r="E82" s="287" t="s">
        <v>19</v>
      </c>
    </row>
    <row r="83" spans="2:5" ht="16">
      <c r="B83" s="476" t="s">
        <v>88</v>
      </c>
      <c r="C83" s="289">
        <v>0</v>
      </c>
      <c r="D83" s="117">
        <v>1</v>
      </c>
      <c r="E83" s="287" t="s">
        <v>19</v>
      </c>
    </row>
    <row r="84" spans="2:5" ht="16">
      <c r="B84" s="476" t="s">
        <v>88</v>
      </c>
      <c r="C84" s="289">
        <v>0</v>
      </c>
      <c r="D84" s="117">
        <v>1</v>
      </c>
      <c r="E84" s="287" t="s">
        <v>19</v>
      </c>
    </row>
    <row r="85" spans="2:5" ht="16">
      <c r="B85" s="476" t="s">
        <v>88</v>
      </c>
      <c r="C85" s="289">
        <v>0</v>
      </c>
      <c r="D85" s="117">
        <v>1</v>
      </c>
      <c r="E85" s="287" t="s">
        <v>19</v>
      </c>
    </row>
    <row r="86" spans="2:5" ht="16">
      <c r="B86" s="476" t="s">
        <v>88</v>
      </c>
      <c r="C86" s="289">
        <v>0</v>
      </c>
      <c r="D86" s="117">
        <v>1</v>
      </c>
      <c r="E86" s="287" t="s">
        <v>19</v>
      </c>
    </row>
    <row r="87" spans="2:5" ht="16">
      <c r="B87" s="476" t="s">
        <v>88</v>
      </c>
      <c r="C87" s="289">
        <v>0</v>
      </c>
      <c r="D87" s="117">
        <v>1</v>
      </c>
      <c r="E87" s="287" t="s">
        <v>19</v>
      </c>
    </row>
    <row r="88" spans="2:5" ht="16">
      <c r="B88" s="476" t="s">
        <v>88</v>
      </c>
      <c r="C88" s="289">
        <v>0</v>
      </c>
      <c r="D88" s="117">
        <v>1</v>
      </c>
      <c r="E88" s="287" t="s">
        <v>19</v>
      </c>
    </row>
    <row r="89" spans="2:5" ht="16">
      <c r="B89" s="476" t="s">
        <v>88</v>
      </c>
      <c r="C89" s="289">
        <v>0</v>
      </c>
      <c r="D89" s="117">
        <v>1</v>
      </c>
      <c r="E89" s="287" t="s">
        <v>19</v>
      </c>
    </row>
    <row r="90" spans="2:5" ht="16">
      <c r="B90" s="476" t="s">
        <v>88</v>
      </c>
      <c r="C90" s="289">
        <v>0</v>
      </c>
      <c r="D90" s="117">
        <v>1</v>
      </c>
      <c r="E90" s="287" t="s">
        <v>19</v>
      </c>
    </row>
    <row r="91" spans="2:5" ht="16">
      <c r="B91" s="476" t="s">
        <v>88</v>
      </c>
      <c r="C91" s="289">
        <v>0</v>
      </c>
      <c r="D91" s="117">
        <v>1</v>
      </c>
      <c r="E91" s="287" t="s">
        <v>21</v>
      </c>
    </row>
    <row r="92" spans="2:5" ht="16">
      <c r="B92" s="476" t="s">
        <v>88</v>
      </c>
      <c r="C92" s="289">
        <v>0</v>
      </c>
      <c r="D92" s="117">
        <v>1</v>
      </c>
      <c r="E92" s="287" t="s">
        <v>21</v>
      </c>
    </row>
    <row r="93" spans="2:5" ht="16">
      <c r="B93" s="476" t="s">
        <v>88</v>
      </c>
      <c r="C93" s="289">
        <v>0</v>
      </c>
      <c r="D93" s="117">
        <v>1</v>
      </c>
      <c r="E93" s="287" t="s">
        <v>21</v>
      </c>
    </row>
    <row r="94" spans="2:5" ht="16">
      <c r="B94" s="476" t="s">
        <v>88</v>
      </c>
      <c r="C94" s="289">
        <v>0</v>
      </c>
      <c r="D94" s="117">
        <v>1</v>
      </c>
      <c r="E94" s="287" t="s">
        <v>21</v>
      </c>
    </row>
    <row r="95" spans="2:5" ht="16">
      <c r="B95" s="288" t="s">
        <v>88</v>
      </c>
      <c r="C95" s="289">
        <v>0</v>
      </c>
      <c r="D95" s="117">
        <v>1</v>
      </c>
      <c r="E95" s="287" t="s">
        <v>21</v>
      </c>
    </row>
    <row r="96" spans="2:5" ht="16">
      <c r="B96" s="288" t="s">
        <v>88</v>
      </c>
      <c r="C96" s="289">
        <v>0</v>
      </c>
      <c r="D96" s="117">
        <v>1</v>
      </c>
      <c r="E96" s="287" t="s">
        <v>21</v>
      </c>
    </row>
    <row r="97" spans="2:7" ht="16">
      <c r="B97" s="288" t="s">
        <v>88</v>
      </c>
      <c r="C97" s="289">
        <v>0</v>
      </c>
      <c r="D97" s="117">
        <v>1</v>
      </c>
      <c r="E97" s="287" t="s">
        <v>21</v>
      </c>
    </row>
    <row r="98" spans="2:7" ht="17" thickBot="1">
      <c r="B98" s="120" t="s">
        <v>88</v>
      </c>
      <c r="C98" s="121">
        <v>0</v>
      </c>
      <c r="D98" s="122">
        <v>1</v>
      </c>
      <c r="E98" s="287" t="s">
        <v>21</v>
      </c>
    </row>
    <row r="99" spans="2:7" ht="30" customHeight="1" thickTop="1">
      <c r="B99" s="473" t="s">
        <v>499</v>
      </c>
      <c r="C99" s="86">
        <f>SUM(C79:C98)</f>
        <v>75000000</v>
      </c>
      <c r="D99" s="60">
        <f>SUMPRODUCT(C79:C98,D79:D98)/C99</f>
        <v>1</v>
      </c>
      <c r="E99" s="58"/>
    </row>
    <row r="100" spans="2:7" s="467" customFormat="1" ht="30" customHeight="1">
      <c r="B100" s="54" t="s">
        <v>500</v>
      </c>
      <c r="C100" s="108">
        <f>C99/(Inputs!$G$6*1000)</f>
        <v>5000</v>
      </c>
      <c r="D100" s="800"/>
      <c r="E100" s="87"/>
    </row>
    <row r="101" spans="2:7" ht="15.75" customHeight="1"/>
    <row r="102" spans="2:7" ht="30" customHeight="1">
      <c r="B102" s="57" t="s">
        <v>89</v>
      </c>
    </row>
    <row r="103" spans="2:7" ht="15.75" customHeight="1">
      <c r="B103" s="57"/>
    </row>
    <row r="104" spans="2:7" ht="15.75" customHeight="1" thickBot="1">
      <c r="B104" s="93"/>
      <c r="C104" s="94"/>
      <c r="D104" s="83"/>
      <c r="E104" s="106"/>
    </row>
    <row r="105" spans="2:7" ht="30" customHeight="1" thickBot="1">
      <c r="B105" s="50" t="str">
        <f>Inputs!E68</f>
        <v>Reserves, Lender Fees &amp; Closing Costs</v>
      </c>
      <c r="C105" s="88" t="s">
        <v>0</v>
      </c>
      <c r="D105" s="89" t="s">
        <v>87</v>
      </c>
      <c r="E105" s="82" t="s">
        <v>143</v>
      </c>
    </row>
    <row r="106" spans="2:7" ht="15.75" customHeight="1">
      <c r="B106" s="85" t="s">
        <v>148</v>
      </c>
      <c r="C106" s="86">
        <f>((C25+C48+C73+C99)*Inputs!$G$79*Inputs!$G$82)</f>
        <v>2466000</v>
      </c>
      <c r="D106" s="117">
        <v>0</v>
      </c>
      <c r="E106" s="287" t="s">
        <v>22</v>
      </c>
    </row>
    <row r="107" spans="2:7" ht="15.75" customHeight="1">
      <c r="B107" s="54" t="s">
        <v>33</v>
      </c>
      <c r="C107" s="108">
        <f>(C73+C99)*Inputs!G57*(Inputs!G52/2)</f>
        <v>12842305.312499998</v>
      </c>
      <c r="D107" s="117">
        <v>0</v>
      </c>
      <c r="E107" s="287" t="s">
        <v>22</v>
      </c>
    </row>
    <row r="108" spans="2:7" ht="15.75" customHeight="1">
      <c r="B108" s="5" t="s">
        <v>45</v>
      </c>
      <c r="C108" s="108">
        <f>Inputs!$G$92</f>
        <v>0</v>
      </c>
      <c r="D108" s="117">
        <v>0</v>
      </c>
      <c r="E108" s="287" t="s">
        <v>22</v>
      </c>
    </row>
    <row r="109" spans="2:7" ht="15.75" customHeight="1" thickBot="1">
      <c r="B109" s="109" t="s">
        <v>149</v>
      </c>
      <c r="C109" s="110">
        <f>Inputs!$G$97+Inputs!$G$100</f>
        <v>6113859.20777852</v>
      </c>
      <c r="D109" s="122">
        <v>0</v>
      </c>
      <c r="E109" s="287" t="s">
        <v>22</v>
      </c>
      <c r="G109" s="467"/>
    </row>
    <row r="110" spans="2:7" ht="30.75" customHeight="1" thickTop="1">
      <c r="B110" s="101" t="s">
        <v>512</v>
      </c>
      <c r="C110" s="86">
        <f>SUM(C106:C109)</f>
        <v>21422164.520278517</v>
      </c>
      <c r="D110" s="60">
        <f>SUMPRODUCT(C106:C109,D106:D109)/C110</f>
        <v>0</v>
      </c>
      <c r="E110" s="81"/>
    </row>
    <row r="111" spans="2:7" ht="15.75" customHeight="1">
      <c r="B111" s="90"/>
      <c r="C111" s="107"/>
      <c r="D111" s="91"/>
      <c r="E111" s="92"/>
    </row>
    <row r="112" spans="2:7" ht="30" customHeight="1">
      <c r="B112" s="57" t="s">
        <v>89</v>
      </c>
      <c r="C112" s="107"/>
      <c r="D112" s="91"/>
      <c r="E112" s="92"/>
    </row>
    <row r="113" spans="2:11" ht="15.75" customHeight="1" thickBot="1">
      <c r="B113" s="90"/>
      <c r="C113" s="107"/>
      <c r="D113" s="91"/>
      <c r="E113" s="92"/>
    </row>
    <row r="114" spans="2:11" ht="17" thickBot="1">
      <c r="B114" s="50" t="s">
        <v>146</v>
      </c>
      <c r="C114" s="51"/>
      <c r="D114" s="51"/>
      <c r="E114" s="360" t="s">
        <v>398</v>
      </c>
      <c r="F114" s="444"/>
      <c r="G114" s="444"/>
      <c r="H114" s="444"/>
      <c r="I114" s="444"/>
      <c r="J114" s="444"/>
      <c r="K114" s="700"/>
    </row>
    <row r="115" spans="2:11" ht="35" thickBot="1">
      <c r="B115" s="98" t="s">
        <v>24</v>
      </c>
      <c r="C115" s="471" t="s">
        <v>0</v>
      </c>
      <c r="D115" s="89" t="s">
        <v>147</v>
      </c>
      <c r="E115" s="698" t="s">
        <v>24</v>
      </c>
      <c r="F115" s="698" t="s">
        <v>19</v>
      </c>
      <c r="G115" s="698" t="s">
        <v>20</v>
      </c>
      <c r="H115" s="698" t="s">
        <v>21</v>
      </c>
      <c r="I115" s="699" t="s">
        <v>22</v>
      </c>
      <c r="J115" s="699" t="s">
        <v>390</v>
      </c>
      <c r="K115" s="699" t="s">
        <v>391</v>
      </c>
    </row>
    <row r="116" spans="2:11" s="49" customFormat="1" ht="17">
      <c r="B116" s="101" t="str">
        <f>B4</f>
        <v>Exploration Costs Attributed to Project</v>
      </c>
      <c r="C116" s="856">
        <f>C25</f>
        <v>8400000</v>
      </c>
      <c r="D116" s="857">
        <f>C25*D25</f>
        <v>8400000</v>
      </c>
      <c r="E116" s="858" t="str">
        <f>B116</f>
        <v>Exploration Costs Attributed to Project</v>
      </c>
      <c r="F116" s="103">
        <f>SUMIF($E$5:$E$24,F$115,$C$5:$C$24)</f>
        <v>8400000</v>
      </c>
      <c r="G116" s="103">
        <f t="shared" ref="G116:K116" si="0">SUMIF($E$5:$E$24,G$115,$C$5:$C$24)</f>
        <v>0</v>
      </c>
      <c r="H116" s="103">
        <f t="shared" si="0"/>
        <v>0</v>
      </c>
      <c r="I116" s="103">
        <f t="shared" si="0"/>
        <v>0</v>
      </c>
      <c r="J116" s="103">
        <f t="shared" si="0"/>
        <v>0</v>
      </c>
      <c r="K116" s="103">
        <f t="shared" si="0"/>
        <v>0</v>
      </c>
    </row>
    <row r="117" spans="2:11" ht="15.75" customHeight="1">
      <c r="B117" s="101" t="str">
        <f>complex_confirmation</f>
        <v>Confirmation Drilling Costs</v>
      </c>
      <c r="C117" s="103">
        <f>C48</f>
        <v>21000000</v>
      </c>
      <c r="D117" s="115">
        <f>C48*D48</f>
        <v>21000000</v>
      </c>
      <c r="E117" s="116" t="str">
        <f>B117</f>
        <v>Confirmation Drilling Costs</v>
      </c>
      <c r="F117" s="103">
        <f t="shared" ref="F117:K117" si="1">SUMIF($E$27:$E$48,F$115,$C$27:$C$48)</f>
        <v>4000000</v>
      </c>
      <c r="G117" s="103">
        <f t="shared" si="1"/>
        <v>0</v>
      </c>
      <c r="H117" s="103">
        <f t="shared" si="1"/>
        <v>0</v>
      </c>
      <c r="I117" s="103">
        <f t="shared" si="1"/>
        <v>0</v>
      </c>
      <c r="J117" s="103">
        <f t="shared" si="1"/>
        <v>17000000</v>
      </c>
      <c r="K117" s="103">
        <f t="shared" si="1"/>
        <v>0</v>
      </c>
    </row>
    <row r="118" spans="2:11" ht="15.75" customHeight="1">
      <c r="B118" s="55" t="str">
        <f>complex_plant</f>
        <v>Production Well Field</v>
      </c>
      <c r="C118" s="99">
        <f>C73</f>
        <v>60000000</v>
      </c>
      <c r="D118" s="105">
        <f>C73*D73</f>
        <v>60000000</v>
      </c>
      <c r="E118" s="116" t="str">
        <f t="shared" ref="E118:E120" si="2">B118</f>
        <v>Production Well Field</v>
      </c>
      <c r="F118" s="99">
        <f t="shared" ref="F118:K118" si="3">SUMIF($E$52:$E$73,F$115,$C$52:$C$73)</f>
        <v>0</v>
      </c>
      <c r="G118" s="99">
        <f>SUMIF($E$52:$E$73,G$115,$C$52:$C$73)</f>
        <v>0</v>
      </c>
      <c r="H118" s="99">
        <f>SUMIF($E$52:$E$73,H$115,$C$52:$C$73)</f>
        <v>0</v>
      </c>
      <c r="I118" s="99">
        <f>SUMIF($E$52:$E$73,I$115,$C$52:$C$73)</f>
        <v>0</v>
      </c>
      <c r="J118" s="696">
        <f t="shared" si="3"/>
        <v>60000000</v>
      </c>
      <c r="K118" s="696">
        <f t="shared" si="3"/>
        <v>0</v>
      </c>
    </row>
    <row r="119" spans="2:11" ht="15.75" customHeight="1">
      <c r="B119" s="783" t="str">
        <f>B78</f>
        <v>Power Plant &amp; Interconnection</v>
      </c>
      <c r="C119" s="99">
        <f>C99</f>
        <v>75000000</v>
      </c>
      <c r="D119" s="105">
        <f>C99*D99</f>
        <v>75000000</v>
      </c>
      <c r="E119" s="116" t="str">
        <f t="shared" si="2"/>
        <v>Power Plant &amp; Interconnection</v>
      </c>
      <c r="F119" s="99">
        <f t="shared" ref="F119:K119" si="4">SUMIF($E$78:$E$99,F$115,$C$78:$C$99)</f>
        <v>75000000</v>
      </c>
      <c r="G119" s="99">
        <f>SUMIF($E$78:$E$99,G$115,$C$78:$C$99)</f>
        <v>0</v>
      </c>
      <c r="H119" s="99">
        <f>SUMIF($E$78:$E$99,H$115,$C$78:$C$99)</f>
        <v>0</v>
      </c>
      <c r="I119" s="99">
        <f>SUMIF($E$78:$E$99,I$115,$C$78:$C$99)</f>
        <v>0</v>
      </c>
      <c r="J119" s="696">
        <f t="shared" si="4"/>
        <v>0</v>
      </c>
      <c r="K119" s="696">
        <f t="shared" si="4"/>
        <v>0</v>
      </c>
    </row>
    <row r="120" spans="2:11" ht="15.75" customHeight="1" thickBot="1">
      <c r="B120" s="784" t="str">
        <f>B105</f>
        <v>Reserves, Lender Fees &amp; Closing Costs</v>
      </c>
      <c r="C120" s="102">
        <f>C110</f>
        <v>21422164.520278517</v>
      </c>
      <c r="D120" s="111">
        <f>C110*D110</f>
        <v>0</v>
      </c>
      <c r="E120" s="116" t="str">
        <f t="shared" si="2"/>
        <v>Reserves, Lender Fees &amp; Closing Costs</v>
      </c>
      <c r="F120" s="114">
        <f>SUMIF($E$105:$E$110,F$115,$C$105:$C$110)</f>
        <v>0</v>
      </c>
      <c r="G120" s="114">
        <f>SUMIF($E$105:$E$110,G$115,$C$105:$C$110)</f>
        <v>0</v>
      </c>
      <c r="H120" s="114">
        <f>SUMIF($E$105:$E$110,H$115,$C$105:$C$110)</f>
        <v>0</v>
      </c>
      <c r="I120" s="114">
        <f>SUMIF($E$105:$E$110,I$115,$C$105:$C$110)</f>
        <v>21422164.520278517</v>
      </c>
      <c r="J120" s="697">
        <f t="shared" ref="J120:K120" si="5">SUMIF($E$105:$E$110,J$115,$C$105:$C$110)</f>
        <v>0</v>
      </c>
      <c r="K120" s="697">
        <f t="shared" si="5"/>
        <v>0</v>
      </c>
    </row>
    <row r="121" spans="2:11" ht="30" customHeight="1" thickTop="1">
      <c r="B121" s="100" t="s">
        <v>119</v>
      </c>
      <c r="C121" s="104">
        <f>SUM(C116:C120)</f>
        <v>185822164.52027851</v>
      </c>
      <c r="D121" s="104">
        <f>SUM(D116:D120)</f>
        <v>164400000</v>
      </c>
      <c r="E121" s="55"/>
      <c r="F121" s="104">
        <f>SUM(F116:F120)</f>
        <v>87400000</v>
      </c>
      <c r="G121" s="104">
        <f t="shared" ref="G121:K121" si="6">SUM(G116:G120)</f>
        <v>0</v>
      </c>
      <c r="H121" s="104">
        <f t="shared" si="6"/>
        <v>0</v>
      </c>
      <c r="I121" s="104">
        <f t="shared" si="6"/>
        <v>21422164.520278517</v>
      </c>
      <c r="J121" s="104">
        <f t="shared" si="6"/>
        <v>77000000</v>
      </c>
      <c r="K121" s="104">
        <f t="shared" si="6"/>
        <v>0</v>
      </c>
    </row>
    <row r="122" spans="2:11">
      <c r="B122" s="7"/>
      <c r="C122" s="7"/>
      <c r="D122" s="7"/>
      <c r="E122" s="7"/>
    </row>
    <row r="123" spans="2:11" ht="16">
      <c r="B123" s="225" t="s">
        <v>167</v>
      </c>
      <c r="C123" s="226" t="str">
        <f>Inputs!Q104</f>
        <v>Yes</v>
      </c>
    </row>
    <row r="124" spans="2:11" ht="16" thickBot="1">
      <c r="B124" s="298"/>
      <c r="C124" s="298"/>
      <c r="D124" s="298"/>
      <c r="E124" s="298"/>
      <c r="F124" s="298"/>
      <c r="G124" s="298"/>
      <c r="H124" s="298"/>
      <c r="I124" s="298"/>
      <c r="J124" s="298"/>
    </row>
    <row r="125" spans="2:11" ht="16" thickBot="1">
      <c r="D125" s="286"/>
      <c r="E125" s="286"/>
    </row>
    <row r="126" spans="2:11" ht="30" customHeight="1" thickBot="1">
      <c r="B126" s="918" t="s">
        <v>188</v>
      </c>
      <c r="C126" s="919"/>
      <c r="D126" s="920"/>
      <c r="E126" s="505"/>
      <c r="F126" s="687" t="s">
        <v>376</v>
      </c>
      <c r="G126" s="506"/>
      <c r="H126" s="506"/>
      <c r="I126" s="506"/>
      <c r="J126" s="507"/>
    </row>
    <row r="127" spans="2:11" ht="16" thickBot="1"/>
    <row r="128" spans="2:11" ht="69" thickBot="1">
      <c r="B128" s="57" t="s">
        <v>89</v>
      </c>
      <c r="C128" s="295" t="s">
        <v>225</v>
      </c>
      <c r="D128" s="296" t="s">
        <v>226</v>
      </c>
      <c r="F128" s="295" t="s">
        <v>225</v>
      </c>
      <c r="G128" s="296" t="s">
        <v>326</v>
      </c>
      <c r="I128" s="295" t="s">
        <v>225</v>
      </c>
      <c r="J128" s="296" t="s">
        <v>345</v>
      </c>
    </row>
    <row r="129" spans="3:10" ht="16">
      <c r="C129" s="396">
        <f>'Cash Flow'!$G$2</f>
        <v>1</v>
      </c>
      <c r="D129" s="397">
        <v>5</v>
      </c>
      <c r="F129" s="396">
        <f>'Cash Flow'!$G$2</f>
        <v>1</v>
      </c>
      <c r="G129" s="508">
        <v>0</v>
      </c>
      <c r="I129" s="396">
        <f>'Cash Flow'!$G$2</f>
        <v>1</v>
      </c>
      <c r="J129" s="508">
        <v>0</v>
      </c>
    </row>
    <row r="130" spans="3:10" ht="16">
      <c r="C130" s="398">
        <f>C129+1</f>
        <v>2</v>
      </c>
      <c r="D130" s="399">
        <v>5.0999999999999996</v>
      </c>
      <c r="F130" s="398">
        <f>F129+1</f>
        <v>2</v>
      </c>
      <c r="G130" s="508">
        <v>1E-3</v>
      </c>
      <c r="I130" s="398">
        <f>I129+1</f>
        <v>2</v>
      </c>
      <c r="J130" s="508">
        <v>0.02</v>
      </c>
    </row>
    <row r="131" spans="3:10" ht="16">
      <c r="C131" s="398">
        <f t="shared" ref="C131:C158" si="7">C130+1</f>
        <v>3</v>
      </c>
      <c r="D131" s="399">
        <v>5.202</v>
      </c>
      <c r="F131" s="398">
        <f t="shared" ref="F131:F158" si="8">F130+1</f>
        <v>3</v>
      </c>
      <c r="G131" s="508">
        <v>1E-3</v>
      </c>
      <c r="I131" s="398">
        <f t="shared" ref="I131:I158" si="9">I130+1</f>
        <v>3</v>
      </c>
      <c r="J131" s="508">
        <v>0.02</v>
      </c>
    </row>
    <row r="132" spans="3:10" ht="16">
      <c r="C132" s="398">
        <f t="shared" si="7"/>
        <v>4</v>
      </c>
      <c r="D132" s="399">
        <v>5.3060400000000003</v>
      </c>
      <c r="F132" s="398">
        <f t="shared" si="8"/>
        <v>4</v>
      </c>
      <c r="G132" s="508">
        <v>1E-3</v>
      </c>
      <c r="I132" s="398">
        <f t="shared" si="9"/>
        <v>4</v>
      </c>
      <c r="J132" s="508">
        <v>0.02</v>
      </c>
    </row>
    <row r="133" spans="3:10" ht="16">
      <c r="C133" s="398">
        <f t="shared" si="7"/>
        <v>5</v>
      </c>
      <c r="D133" s="399">
        <v>5.4121608000000005</v>
      </c>
      <c r="F133" s="398">
        <f t="shared" si="8"/>
        <v>5</v>
      </c>
      <c r="G133" s="508">
        <v>1E-3</v>
      </c>
      <c r="I133" s="398">
        <f t="shared" si="9"/>
        <v>5</v>
      </c>
      <c r="J133" s="508">
        <v>0.02</v>
      </c>
    </row>
    <row r="134" spans="3:10" ht="16">
      <c r="C134" s="398">
        <f t="shared" si="7"/>
        <v>6</v>
      </c>
      <c r="D134" s="399">
        <v>5.5204040160000005</v>
      </c>
      <c r="F134" s="398">
        <f t="shared" si="8"/>
        <v>6</v>
      </c>
      <c r="G134" s="508">
        <v>1E-3</v>
      </c>
      <c r="I134" s="398">
        <f t="shared" si="9"/>
        <v>6</v>
      </c>
      <c r="J134" s="508">
        <v>0.02</v>
      </c>
    </row>
    <row r="135" spans="3:10" ht="16">
      <c r="C135" s="398">
        <f t="shared" si="7"/>
        <v>7</v>
      </c>
      <c r="D135" s="399">
        <v>5.6308120963200006</v>
      </c>
      <c r="E135" s="10"/>
      <c r="F135" s="398">
        <f t="shared" si="8"/>
        <v>7</v>
      </c>
      <c r="G135" s="508">
        <v>1E-3</v>
      </c>
      <c r="I135" s="398">
        <f t="shared" si="9"/>
        <v>7</v>
      </c>
      <c r="J135" s="508">
        <v>0.02</v>
      </c>
    </row>
    <row r="136" spans="3:10" ht="16">
      <c r="C136" s="398">
        <f t="shared" si="7"/>
        <v>8</v>
      </c>
      <c r="D136" s="399">
        <v>5.7434283382464004</v>
      </c>
      <c r="E136" s="112"/>
      <c r="F136" s="398">
        <f t="shared" si="8"/>
        <v>8</v>
      </c>
      <c r="G136" s="508">
        <v>1E-3</v>
      </c>
      <c r="I136" s="398">
        <f t="shared" si="9"/>
        <v>8</v>
      </c>
      <c r="J136" s="508">
        <v>0.02</v>
      </c>
    </row>
    <row r="137" spans="3:10" ht="16">
      <c r="C137" s="398">
        <f t="shared" si="7"/>
        <v>9</v>
      </c>
      <c r="D137" s="399">
        <v>5.8582969050113283</v>
      </c>
      <c r="E137" s="113"/>
      <c r="F137" s="398">
        <f t="shared" si="8"/>
        <v>9</v>
      </c>
      <c r="G137" s="508">
        <v>1E-3</v>
      </c>
      <c r="I137" s="398">
        <f t="shared" si="9"/>
        <v>9</v>
      </c>
      <c r="J137" s="508">
        <v>0.02</v>
      </c>
    </row>
    <row r="138" spans="3:10" ht="16">
      <c r="C138" s="398">
        <f t="shared" si="7"/>
        <v>10</v>
      </c>
      <c r="D138" s="399">
        <v>5.9754628431115551</v>
      </c>
      <c r="E138" s="113"/>
      <c r="F138" s="398">
        <f t="shared" si="8"/>
        <v>10</v>
      </c>
      <c r="G138" s="508">
        <v>1E-3</v>
      </c>
      <c r="I138" s="398">
        <f t="shared" si="9"/>
        <v>10</v>
      </c>
      <c r="J138" s="508">
        <v>0.02</v>
      </c>
    </row>
    <row r="139" spans="3:10" ht="16">
      <c r="C139" s="398">
        <f t="shared" si="7"/>
        <v>11</v>
      </c>
      <c r="D139" s="399">
        <v>6.094972099973786</v>
      </c>
      <c r="E139" s="113"/>
      <c r="F139" s="398">
        <f t="shared" si="8"/>
        <v>11</v>
      </c>
      <c r="G139" s="508">
        <v>1E-3</v>
      </c>
      <c r="I139" s="398">
        <f t="shared" si="9"/>
        <v>11</v>
      </c>
      <c r="J139" s="508">
        <v>0.02</v>
      </c>
    </row>
    <row r="140" spans="3:10" ht="16">
      <c r="C140" s="398">
        <f t="shared" si="7"/>
        <v>12</v>
      </c>
      <c r="D140" s="399">
        <v>6.2168715419732621</v>
      </c>
      <c r="E140" s="113"/>
      <c r="F140" s="398">
        <f t="shared" si="8"/>
        <v>12</v>
      </c>
      <c r="G140" s="508">
        <v>1E-3</v>
      </c>
      <c r="I140" s="398">
        <f t="shared" si="9"/>
        <v>12</v>
      </c>
      <c r="J140" s="508">
        <v>0.02</v>
      </c>
    </row>
    <row r="141" spans="3:10" ht="16">
      <c r="C141" s="398">
        <f t="shared" si="7"/>
        <v>13</v>
      </c>
      <c r="D141" s="399">
        <v>6.3412089728127281</v>
      </c>
      <c r="E141" s="113"/>
      <c r="F141" s="398">
        <f t="shared" si="8"/>
        <v>13</v>
      </c>
      <c r="G141" s="508">
        <v>1E-3</v>
      </c>
      <c r="I141" s="398">
        <f t="shared" si="9"/>
        <v>13</v>
      </c>
      <c r="J141" s="508">
        <v>0.02</v>
      </c>
    </row>
    <row r="142" spans="3:10" ht="16">
      <c r="C142" s="398">
        <f t="shared" si="7"/>
        <v>14</v>
      </c>
      <c r="D142" s="399">
        <v>6.4680331522689825</v>
      </c>
      <c r="E142" s="113"/>
      <c r="F142" s="398">
        <f t="shared" si="8"/>
        <v>14</v>
      </c>
      <c r="G142" s="508">
        <v>1E-3</v>
      </c>
      <c r="I142" s="398">
        <f t="shared" si="9"/>
        <v>14</v>
      </c>
      <c r="J142" s="508">
        <v>0.02</v>
      </c>
    </row>
    <row r="143" spans="3:10" ht="16">
      <c r="C143" s="398">
        <f t="shared" si="7"/>
        <v>15</v>
      </c>
      <c r="D143" s="399">
        <v>6.5973938153143621</v>
      </c>
      <c r="E143" s="113"/>
      <c r="F143" s="398">
        <f t="shared" si="8"/>
        <v>15</v>
      </c>
      <c r="G143" s="508">
        <v>1E-3</v>
      </c>
      <c r="I143" s="398">
        <f t="shared" si="9"/>
        <v>15</v>
      </c>
      <c r="J143" s="508">
        <v>0.02</v>
      </c>
    </row>
    <row r="144" spans="3:10" ht="16">
      <c r="C144" s="398">
        <f t="shared" si="7"/>
        <v>16</v>
      </c>
      <c r="D144" s="399">
        <v>6.7293416916206494</v>
      </c>
      <c r="E144" s="113"/>
      <c r="F144" s="398">
        <f t="shared" si="8"/>
        <v>16</v>
      </c>
      <c r="G144" s="508">
        <v>1E-3</v>
      </c>
      <c r="I144" s="398">
        <f t="shared" si="9"/>
        <v>16</v>
      </c>
      <c r="J144" s="508">
        <v>0.02</v>
      </c>
    </row>
    <row r="145" spans="3:10" ht="16">
      <c r="C145" s="398">
        <f t="shared" si="7"/>
        <v>17</v>
      </c>
      <c r="D145" s="399">
        <v>6.8639285254530638</v>
      </c>
      <c r="E145" s="113"/>
      <c r="F145" s="398">
        <f t="shared" si="8"/>
        <v>17</v>
      </c>
      <c r="G145" s="508">
        <v>1E-3</v>
      </c>
      <c r="I145" s="398">
        <f t="shared" si="9"/>
        <v>17</v>
      </c>
      <c r="J145" s="508">
        <v>0.02</v>
      </c>
    </row>
    <row r="146" spans="3:10" ht="16">
      <c r="C146" s="398">
        <f t="shared" si="7"/>
        <v>18</v>
      </c>
      <c r="D146" s="399">
        <v>7.0012070959621253</v>
      </c>
      <c r="E146" s="10"/>
      <c r="F146" s="398">
        <f t="shared" si="8"/>
        <v>18</v>
      </c>
      <c r="G146" s="508">
        <v>1E-3</v>
      </c>
      <c r="I146" s="398">
        <f t="shared" si="9"/>
        <v>18</v>
      </c>
      <c r="J146" s="508">
        <v>0.02</v>
      </c>
    </row>
    <row r="147" spans="3:10" ht="16">
      <c r="C147" s="398">
        <f t="shared" si="7"/>
        <v>19</v>
      </c>
      <c r="D147" s="399">
        <v>7.1412312378813683</v>
      </c>
      <c r="E147" s="10"/>
      <c r="F147" s="398">
        <f t="shared" si="8"/>
        <v>19</v>
      </c>
      <c r="G147" s="508">
        <v>1E-3</v>
      </c>
      <c r="I147" s="398">
        <f t="shared" si="9"/>
        <v>19</v>
      </c>
      <c r="J147" s="508">
        <v>0.02</v>
      </c>
    </row>
    <row r="148" spans="3:10" ht="16">
      <c r="C148" s="398">
        <f t="shared" si="7"/>
        <v>20</v>
      </c>
      <c r="D148" s="399">
        <v>7.2840558626389953</v>
      </c>
      <c r="E148" s="10"/>
      <c r="F148" s="398">
        <f t="shared" si="8"/>
        <v>20</v>
      </c>
      <c r="G148" s="508">
        <v>1E-3</v>
      </c>
      <c r="I148" s="398">
        <f t="shared" si="9"/>
        <v>20</v>
      </c>
      <c r="J148" s="508">
        <v>0.02</v>
      </c>
    </row>
    <row r="149" spans="3:10" ht="16">
      <c r="C149" s="398">
        <f t="shared" si="7"/>
        <v>21</v>
      </c>
      <c r="D149" s="399">
        <v>7.4297369798917758</v>
      </c>
      <c r="F149" s="398">
        <f t="shared" si="8"/>
        <v>21</v>
      </c>
      <c r="G149" s="508">
        <v>1E-3</v>
      </c>
      <c r="I149" s="398">
        <f t="shared" si="9"/>
        <v>21</v>
      </c>
      <c r="J149" s="508">
        <v>0.02</v>
      </c>
    </row>
    <row r="150" spans="3:10" ht="16">
      <c r="C150" s="398">
        <f t="shared" si="7"/>
        <v>22</v>
      </c>
      <c r="D150" s="399">
        <v>7.5783317194896114</v>
      </c>
      <c r="F150" s="398">
        <f t="shared" si="8"/>
        <v>22</v>
      </c>
      <c r="G150" s="508">
        <v>1E-3</v>
      </c>
      <c r="I150" s="398">
        <f t="shared" si="9"/>
        <v>22</v>
      </c>
      <c r="J150" s="508">
        <v>0.02</v>
      </c>
    </row>
    <row r="151" spans="3:10" ht="16">
      <c r="C151" s="398">
        <f t="shared" si="7"/>
        <v>23</v>
      </c>
      <c r="D151" s="399">
        <v>7.7298983538794035</v>
      </c>
      <c r="F151" s="398">
        <f t="shared" si="8"/>
        <v>23</v>
      </c>
      <c r="G151" s="508">
        <v>1E-3</v>
      </c>
      <c r="I151" s="398">
        <f t="shared" si="9"/>
        <v>23</v>
      </c>
      <c r="J151" s="508">
        <v>0.02</v>
      </c>
    </row>
    <row r="152" spans="3:10" ht="16">
      <c r="C152" s="398">
        <f t="shared" si="7"/>
        <v>24</v>
      </c>
      <c r="D152" s="399">
        <v>7.8844963209569912</v>
      </c>
      <c r="F152" s="398">
        <f t="shared" si="8"/>
        <v>24</v>
      </c>
      <c r="G152" s="508">
        <v>1E-3</v>
      </c>
      <c r="I152" s="398">
        <f t="shared" si="9"/>
        <v>24</v>
      </c>
      <c r="J152" s="508">
        <v>0.02</v>
      </c>
    </row>
    <row r="153" spans="3:10" ht="16">
      <c r="C153" s="398">
        <f t="shared" si="7"/>
        <v>25</v>
      </c>
      <c r="D153" s="399">
        <v>8.0421862473761312</v>
      </c>
      <c r="F153" s="398">
        <f t="shared" si="8"/>
        <v>25</v>
      </c>
      <c r="G153" s="508">
        <v>1E-3</v>
      </c>
      <c r="I153" s="398">
        <f t="shared" si="9"/>
        <v>25</v>
      </c>
      <c r="J153" s="508">
        <v>0.02</v>
      </c>
    </row>
    <row r="154" spans="3:10" ht="16">
      <c r="C154" s="398">
        <f t="shared" si="7"/>
        <v>26</v>
      </c>
      <c r="D154" s="399">
        <v>8.2030299723236535</v>
      </c>
      <c r="F154" s="398">
        <f t="shared" si="8"/>
        <v>26</v>
      </c>
      <c r="G154" s="508">
        <v>1E-3</v>
      </c>
      <c r="I154" s="398">
        <f t="shared" si="9"/>
        <v>26</v>
      </c>
      <c r="J154" s="508">
        <v>0.02</v>
      </c>
    </row>
    <row r="155" spans="3:10" ht="16">
      <c r="C155" s="398">
        <f t="shared" si="7"/>
        <v>27</v>
      </c>
      <c r="D155" s="399">
        <v>8.3670905717701274</v>
      </c>
      <c r="F155" s="398">
        <f t="shared" si="8"/>
        <v>27</v>
      </c>
      <c r="G155" s="508">
        <v>1E-3</v>
      </c>
      <c r="I155" s="398">
        <f t="shared" si="9"/>
        <v>27</v>
      </c>
      <c r="J155" s="508">
        <v>0.02</v>
      </c>
    </row>
    <row r="156" spans="3:10" ht="16">
      <c r="C156" s="398">
        <f t="shared" si="7"/>
        <v>28</v>
      </c>
      <c r="D156" s="399">
        <v>8.5344323832055302</v>
      </c>
      <c r="F156" s="398">
        <f t="shared" si="8"/>
        <v>28</v>
      </c>
      <c r="G156" s="508">
        <v>1E-3</v>
      </c>
      <c r="I156" s="398">
        <f t="shared" si="9"/>
        <v>28</v>
      </c>
      <c r="J156" s="508">
        <v>0.02</v>
      </c>
    </row>
    <row r="157" spans="3:10" ht="16">
      <c r="C157" s="398">
        <f t="shared" si="7"/>
        <v>29</v>
      </c>
      <c r="D157" s="399">
        <v>8.7051210308696394</v>
      </c>
      <c r="F157" s="398">
        <f t="shared" si="8"/>
        <v>29</v>
      </c>
      <c r="G157" s="508">
        <v>1E-3</v>
      </c>
      <c r="I157" s="398">
        <f t="shared" si="9"/>
        <v>29</v>
      </c>
      <c r="J157" s="508">
        <v>0.02</v>
      </c>
    </row>
    <row r="158" spans="3:10" ht="16">
      <c r="C158" s="398">
        <f t="shared" si="7"/>
        <v>30</v>
      </c>
      <c r="D158" s="399">
        <v>8.8792234514870323</v>
      </c>
      <c r="F158" s="398">
        <f t="shared" si="8"/>
        <v>30</v>
      </c>
      <c r="G158" s="508">
        <v>1E-3</v>
      </c>
      <c r="I158" s="398">
        <f t="shared" si="9"/>
        <v>30</v>
      </c>
      <c r="J158" s="508">
        <v>0.02</v>
      </c>
    </row>
    <row r="159" spans="3:10" ht="30" customHeight="1">
      <c r="C159" s="916" t="s">
        <v>190</v>
      </c>
      <c r="D159" s="917"/>
    </row>
    <row r="161" spans="2:2" ht="24">
      <c r="B161" s="57" t="s">
        <v>89</v>
      </c>
    </row>
  </sheetData>
  <protectedRanges>
    <protectedRange sqref="J129:J158" name="Resource Degradation"/>
    <protectedRange sqref="G129:G158" name="Production Degradation"/>
    <protectedRange sqref="D129:D158" name="Market Val of Production"/>
    <protectedRange sqref="D106:E109 B28:E47 B79:E98 B53:E72 B5:E24" name="Complex Inputs"/>
  </protectedRanges>
  <mergeCells count="3">
    <mergeCell ref="C159:D159"/>
    <mergeCell ref="B126:D126"/>
    <mergeCell ref="G2:I2"/>
  </mergeCells>
  <conditionalFormatting sqref="B108">
    <cfRule type="expression" dxfId="5" priority="8">
      <formula>#REF!="100% Equity"</formula>
    </cfRule>
  </conditionalFormatting>
  <conditionalFormatting sqref="B108">
    <cfRule type="expression" dxfId="4" priority="9">
      <formula>#REF!="(use dropdown)"</formula>
    </cfRule>
  </conditionalFormatting>
  <conditionalFormatting sqref="D106:E110 D117:D121 D53:E74 F117:J121 D28:E48 D79:E100 E121 G121:K121">
    <cfRule type="expression" dxfId="3" priority="10">
      <formula>$C$123="No"</formula>
    </cfRule>
  </conditionalFormatting>
  <conditionalFormatting sqref="K117:K121">
    <cfRule type="expression" dxfId="2" priority="3">
      <formula>$C$123="No"</formula>
    </cfRule>
  </conditionalFormatting>
  <conditionalFormatting sqref="D5:E25">
    <cfRule type="expression" dxfId="1" priority="2">
      <formula>$C$123="No"</formula>
    </cfRule>
  </conditionalFormatting>
  <conditionalFormatting sqref="F116:K116">
    <cfRule type="expression" dxfId="0" priority="1">
      <formula>$C$123="No"</formula>
    </cfRule>
  </conditionalFormatting>
  <dataValidations count="2">
    <dataValidation type="list" allowBlank="1" showInputMessage="1" showErrorMessage="1" sqref="E106:E109 E79:E98 E60:E72" xr:uid="{00000000-0002-0000-0500-000000000000}">
      <formula1>$F$115:$J$115</formula1>
    </dataValidation>
    <dataValidation type="list" allowBlank="1" showInputMessage="1" showErrorMessage="1" sqref="E53:E59 E28:E47 E5:E24" xr:uid="{00000000-0002-0000-0500-000001000000}">
      <formula1>$F$115:$K$115</formula1>
    </dataValidation>
  </dataValidations>
  <hyperlinks>
    <hyperlink ref="B76" location="Inputs!A1" display="Click Here to Return to Inputs Worksheet" xr:uid="{00000000-0004-0000-0500-000000000000}"/>
    <hyperlink ref="B102" location="Inputs!A1" display="Click Here to Return to Inputs Worksheet" xr:uid="{00000000-0004-0000-0500-000001000000}"/>
    <hyperlink ref="B50" location="Inputs!A1" display="Click Here to Return to Inputs Worksheet" xr:uid="{00000000-0004-0000-0500-000002000000}"/>
    <hyperlink ref="B112" location="Inputs!A1" display="Click Here to Return to Inputs Worksheet" xr:uid="{00000000-0004-0000-0500-000003000000}"/>
    <hyperlink ref="B161" location="Inputs!A1" display="Click Here to Return to Inputs Worksheet" xr:uid="{00000000-0004-0000-0500-000004000000}"/>
    <hyperlink ref="G2" location="Inputs!A1" display="Click Here to Return to Inputs Worksheet" xr:uid="{00000000-0004-0000-0500-000005000000}"/>
    <hyperlink ref="B128" location="Inputs!A1" display="Click Here to Return to Inputs Worksheet" xr:uid="{00000000-0004-0000-0500-000006000000}"/>
  </hyperlink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Introduction</vt:lpstr>
      <vt:lpstr>Inputs</vt:lpstr>
      <vt:lpstr>Summary Results</vt:lpstr>
      <vt:lpstr>Annual Cash Flows &amp; Returns</vt:lpstr>
      <vt:lpstr>Cash Flow</vt:lpstr>
      <vt:lpstr>Complex Inputs</vt:lpstr>
      <vt:lpstr>Inputs!_ftnref1</vt:lpstr>
      <vt:lpstr>complex_confirmation</vt:lpstr>
      <vt:lpstr>complex_plant</vt:lpstr>
      <vt:lpstr>complex_wellfield</vt:lpstr>
      <vt:lpstr>depreciation_allocation</vt:lpstr>
      <vt:lpstr>Introduction!Print_Area</vt:lpstr>
      <vt:lpstr>production_degradation</vt:lpstr>
      <vt:lpstr>production_degradation_input</vt:lpstr>
      <vt:lpstr>production_mkt_val</vt:lpstr>
      <vt:lpstr>Thermal_Resource_Degradation_Input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 for Geothermal Energy</dc:title>
  <dc:subject>A model to assess project economics, design cost-based incentives, and evaluate the impact of state and federal support structures on renewable energy</dc:subject>
  <dc:creator/>
  <cp:keywords/>
  <dc:description/>
  <cp:lastModifiedBy>Harrison Dreves</cp:lastModifiedBy>
  <cp:lastPrinted>2010-07-30T20:36:23Z</cp:lastPrinted>
  <dcterms:created xsi:type="dcterms:W3CDTF">2010-03-29T19:24:38Z</dcterms:created>
  <dcterms:modified xsi:type="dcterms:W3CDTF">2019-01-21T19:31:20Z</dcterms:modified>
  <cp:category/>
</cp:coreProperties>
</file>