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72" windowWidth="22992" windowHeight="11568"/>
  </bookViews>
  <sheets>
    <sheet name="Use Agreement" sheetId="16" r:id="rId1"/>
    <sheet name="Repurposing" sheetId="15" r:id="rId2"/>
  </sheets>
  <externalReferences>
    <externalReference r:id="rId3"/>
    <externalReference r:id="rId4"/>
    <externalReference r:id="rId5"/>
  </externalReferences>
  <definedNames>
    <definedName name="\K">#REF!</definedName>
    <definedName name="\M">#REF!</definedName>
    <definedName name="\R">#REF!</definedName>
    <definedName name="AltRateMiscCostsDG">'[1]Electric Cost Calcs. '!$W$49</definedName>
    <definedName name="AltRateTotalDmndDlrsDG">'[1]Electric Cost Calcs. '!$V$50</definedName>
    <definedName name="AltRateTotalNrgDlrsDG">'[1]Electric Cost Calcs. '!$Q$50</definedName>
    <definedName name="AnnualDGProd">[2]Inputs_old!#REF!</definedName>
    <definedName name="as">[3]ChemCalcs!#REF!</definedName>
    <definedName name="Batt_Buy_Cost">Repurposing!$E$146</definedName>
    <definedName name="BOX">#REF!</definedName>
    <definedName name="cs">[3]ChemCalcs!#REF!</definedName>
    <definedName name="CurrentMiscCostsDG">'[1]Electric Cost Calcs. '!$K$49</definedName>
    <definedName name="CurrentMiscCostsNoDG">'[1]Electric Cost Calcs. '!$K$29</definedName>
    <definedName name="CurrentTotalDmndDlrsDG">'[1]Electric Cost Calcs. '!$J$50</definedName>
    <definedName name="CurrentTotalDmndDlrsNoDG">'[1]Electric Cost Calcs. '!$J$30</definedName>
    <definedName name="CurrentTotalNrgDlrsDG">'[1]Electric Cost Calcs. '!$E$50</definedName>
    <definedName name="CurrentTotalNrgDlrsNoDG">'[1]Electric Cost Calcs. '!$E$30</definedName>
    <definedName name="DiscRate" localSheetId="1">#REF!</definedName>
    <definedName name="DiscRate">#REF!</definedName>
    <definedName name="ElectricIOU">[2]Inputs_old!#REF!</definedName>
    <definedName name="InfRate" localSheetId="1">#REF!</definedName>
    <definedName name="InfRate">#REF!</definedName>
    <definedName name="INTERNET">#REF!</definedName>
    <definedName name="KWHperMi" localSheetId="1">#REF!</definedName>
    <definedName name="KWHperMi">#REF!</definedName>
    <definedName name="MPG" localSheetId="1">#REF!</definedName>
    <definedName name="MPG">#REF!</definedName>
    <definedName name="OptimalSysSize">'[1]Grpahical Clcualtion'!$S$12</definedName>
    <definedName name="PE">#REF!</definedName>
    <definedName name="PVSizeAC">[2]Inputs_old!#REF!</definedName>
    <definedName name="SDC">#REF!</definedName>
    <definedName name="ServiceVoltage">[2]Inputs_old!#REF!</definedName>
    <definedName name="SOURCE">#REF!</definedName>
    <definedName name="STOU">#REF!</definedName>
    <definedName name="Total_NPV">Repurposing!$K$163</definedName>
    <definedName name="VMT" localSheetId="1">#REF!</definedName>
    <definedName name="VMT">#REF!</definedName>
    <definedName name="WDC">#REF!</definedName>
    <definedName name="WTOU">#REF!</definedName>
  </definedNames>
  <calcPr calcId="145621" concurrentCalc="0"/>
</workbook>
</file>

<file path=xl/calcChain.xml><?xml version="1.0" encoding="utf-8"?>
<calcChain xmlns="http://schemas.openxmlformats.org/spreadsheetml/2006/main">
  <c r="C13" i="15" l="1"/>
  <c r="C167" i="15"/>
  <c r="E157" i="15"/>
  <c r="F157" i="15"/>
  <c r="C19" i="15"/>
  <c r="D146" i="15"/>
  <c r="F146" i="15"/>
  <c r="C48" i="15"/>
  <c r="C49" i="15"/>
  <c r="C55" i="15"/>
  <c r="D129" i="15"/>
  <c r="F129" i="15"/>
  <c r="C20" i="15"/>
  <c r="C7" i="15"/>
  <c r="C10" i="15"/>
  <c r="C9" i="15"/>
  <c r="C8" i="15"/>
  <c r="C11" i="15"/>
  <c r="E11" i="15"/>
  <c r="C86" i="15"/>
  <c r="C89" i="15"/>
  <c r="C50" i="15"/>
  <c r="C52" i="15"/>
  <c r="C56" i="15"/>
  <c r="D130" i="15"/>
  <c r="F130" i="15"/>
  <c r="C6" i="15"/>
  <c r="F30" i="15"/>
  <c r="C30" i="15"/>
  <c r="F29" i="15"/>
  <c r="C29" i="15"/>
  <c r="C31" i="15"/>
  <c r="C32" i="15"/>
  <c r="C25" i="15"/>
  <c r="C33" i="15"/>
  <c r="C34" i="15"/>
  <c r="C57" i="15"/>
  <c r="D131" i="15"/>
  <c r="F131" i="15"/>
  <c r="C58" i="15"/>
  <c r="D132" i="15"/>
  <c r="F132" i="15"/>
  <c r="C59" i="15"/>
  <c r="C60" i="15"/>
  <c r="C61" i="15"/>
  <c r="C63" i="15"/>
  <c r="D136" i="15"/>
  <c r="F136" i="15"/>
  <c r="C64" i="15"/>
  <c r="D138" i="15"/>
  <c r="F138" i="15"/>
  <c r="D139" i="15"/>
  <c r="F139" i="15"/>
  <c r="D134" i="15"/>
  <c r="F134" i="15"/>
  <c r="D135" i="15"/>
  <c r="F135" i="15"/>
  <c r="D133" i="15"/>
  <c r="F133" i="15"/>
  <c r="D137" i="15"/>
  <c r="F137" i="15"/>
  <c r="D140" i="15"/>
  <c r="F140" i="15"/>
  <c r="G128" i="15"/>
  <c r="E141" i="15"/>
  <c r="G141" i="15"/>
  <c r="H126" i="15"/>
  <c r="F148" i="15"/>
  <c r="C67" i="15"/>
  <c r="C106" i="15"/>
  <c r="C104" i="15"/>
  <c r="C101" i="15"/>
  <c r="C103" i="15"/>
  <c r="C105" i="15"/>
  <c r="C99" i="15"/>
  <c r="C107" i="15"/>
  <c r="C108" i="15"/>
  <c r="C84" i="15"/>
  <c r="E10" i="15"/>
  <c r="C90" i="15"/>
  <c r="C91" i="15"/>
  <c r="C93" i="15"/>
  <c r="E8" i="15"/>
  <c r="C77" i="15"/>
  <c r="C79" i="15"/>
  <c r="C71" i="15"/>
  <c r="C81" i="15"/>
  <c r="C92" i="15"/>
  <c r="C94" i="15"/>
  <c r="C96" i="15"/>
  <c r="C97" i="15"/>
  <c r="C73" i="15"/>
  <c r="C74" i="15"/>
  <c r="C75" i="15"/>
  <c r="E9" i="15"/>
  <c r="C76" i="15"/>
  <c r="C80" i="15"/>
  <c r="C82" i="15"/>
  <c r="H69" i="15"/>
  <c r="D149" i="15"/>
  <c r="F149" i="15"/>
  <c r="C12" i="15"/>
  <c r="C45" i="15"/>
  <c r="D150" i="15"/>
  <c r="F150" i="15"/>
  <c r="D151" i="15"/>
  <c r="F151" i="15"/>
  <c r="C24" i="15"/>
  <c r="C35" i="15"/>
  <c r="D152" i="15"/>
  <c r="F28" i="15"/>
  <c r="C28" i="15"/>
  <c r="E152" i="15"/>
  <c r="F152" i="15"/>
  <c r="E153" i="15"/>
  <c r="F153" i="15"/>
  <c r="F147" i="15"/>
  <c r="G145" i="15"/>
  <c r="E155" i="15"/>
  <c r="F155" i="15"/>
  <c r="E156" i="15"/>
  <c r="F156" i="15"/>
  <c r="E158" i="15"/>
  <c r="F158" i="15"/>
  <c r="G154" i="15"/>
  <c r="H143" i="15"/>
  <c r="E118" i="15"/>
  <c r="D118" i="15"/>
  <c r="F118" i="15"/>
  <c r="D117" i="15"/>
  <c r="F117" i="15"/>
  <c r="C95" i="15"/>
  <c r="D119" i="15"/>
  <c r="F119" i="15"/>
  <c r="D120" i="15"/>
  <c r="F120" i="15"/>
  <c r="D121" i="15"/>
  <c r="C27" i="15"/>
  <c r="E121" i="15"/>
  <c r="F121" i="15"/>
  <c r="C36" i="15"/>
  <c r="D122" i="15"/>
  <c r="E122" i="15"/>
  <c r="F122" i="15"/>
  <c r="D123" i="15"/>
  <c r="F123" i="15"/>
  <c r="G116" i="15"/>
  <c r="E113" i="15"/>
  <c r="D113" i="15"/>
  <c r="D114" i="15"/>
  <c r="F113" i="15"/>
  <c r="F114" i="15"/>
  <c r="D115" i="15"/>
  <c r="F115" i="15"/>
  <c r="G112" i="15"/>
  <c r="H110" i="15"/>
  <c r="C170" i="15"/>
  <c r="C162" i="15"/>
  <c r="C166" i="15"/>
  <c r="F164" i="15"/>
  <c r="H164" i="15"/>
  <c r="G164" i="15"/>
  <c r="J164" i="15"/>
  <c r="I164" i="15"/>
  <c r="C171" i="15"/>
  <c r="C26" i="15"/>
  <c r="C23" i="15"/>
  <c r="E30" i="15"/>
  <c r="G30" i="15"/>
  <c r="G29" i="15"/>
  <c r="G27" i="15"/>
  <c r="E29" i="15"/>
  <c r="E28" i="15"/>
  <c r="K112" i="15"/>
  <c r="K123" i="15"/>
  <c r="K113" i="15"/>
  <c r="K124" i="15"/>
  <c r="K125" i="15"/>
  <c r="J113" i="15"/>
  <c r="J124" i="15"/>
  <c r="J112" i="15"/>
  <c r="J123" i="15"/>
  <c r="K156" i="15"/>
  <c r="K157" i="15"/>
  <c r="F165" i="15"/>
  <c r="H165" i="15"/>
  <c r="G165" i="15"/>
  <c r="J165" i="15"/>
  <c r="F166" i="15"/>
  <c r="H166" i="15"/>
  <c r="G166" i="15"/>
  <c r="J166" i="15"/>
  <c r="F167" i="15"/>
  <c r="H167" i="15"/>
  <c r="G167" i="15"/>
  <c r="J167" i="15"/>
  <c r="F168" i="15"/>
  <c r="H168" i="15"/>
  <c r="G168" i="15"/>
  <c r="J168" i="15"/>
  <c r="F163" i="15"/>
  <c r="J163" i="15"/>
  <c r="K163" i="15"/>
  <c r="I165" i="15"/>
  <c r="I166" i="15"/>
  <c r="I167" i="15"/>
  <c r="I168" i="15"/>
  <c r="J121" i="15"/>
  <c r="K121" i="15"/>
  <c r="J118" i="15"/>
  <c r="K118" i="15"/>
  <c r="J116" i="15"/>
  <c r="K116" i="15"/>
  <c r="J117" i="15"/>
  <c r="K117" i="15"/>
  <c r="J119" i="15"/>
  <c r="K119" i="15"/>
  <c r="J114" i="15"/>
  <c r="K114" i="15"/>
  <c r="J115" i="15"/>
  <c r="K115" i="15"/>
  <c r="J120" i="15"/>
  <c r="K120" i="15"/>
  <c r="K147" i="15"/>
  <c r="K151" i="15"/>
  <c r="K153" i="15"/>
  <c r="K150" i="15"/>
  <c r="K152" i="15"/>
  <c r="K148" i="15"/>
  <c r="K149" i="15"/>
  <c r="K154" i="15"/>
  <c r="J134" i="15"/>
  <c r="K134" i="15"/>
  <c r="J138" i="15"/>
  <c r="K138" i="15"/>
  <c r="J132" i="15"/>
  <c r="K132" i="15"/>
  <c r="J133" i="15"/>
  <c r="K133" i="15"/>
  <c r="J130" i="15"/>
  <c r="K130" i="15"/>
  <c r="J131" i="15"/>
  <c r="K131" i="15"/>
  <c r="J136" i="15"/>
  <c r="K136" i="15"/>
  <c r="J137" i="15"/>
  <c r="K137" i="15"/>
  <c r="J135" i="15"/>
  <c r="K135" i="15"/>
  <c r="J129" i="15"/>
  <c r="K129" i="15"/>
  <c r="H148" i="15"/>
  <c r="H147" i="15"/>
  <c r="H146" i="15"/>
  <c r="H127" i="15"/>
  <c r="C83" i="15"/>
  <c r="C78" i="15"/>
</calcChain>
</file>

<file path=xl/comments1.xml><?xml version="1.0" encoding="utf-8"?>
<comments xmlns="http://schemas.openxmlformats.org/spreadsheetml/2006/main">
  <authors>
    <author>Michelle Bogen</author>
  </authors>
  <commentList>
    <comment ref="E129" authorId="0">
      <text>
        <r>
          <rPr>
            <b/>
            <sz val="9"/>
            <color indexed="81"/>
            <rFont val="Tahoma"/>
            <family val="2"/>
          </rPr>
          <t>Michelle Bogen:</t>
        </r>
        <r>
          <rPr>
            <sz val="9"/>
            <color indexed="81"/>
            <rFont val="Tahoma"/>
            <family val="2"/>
          </rPr>
          <t xml:space="preserve">
BLS Occupation Code 51-9061</t>
        </r>
      </text>
    </comment>
    <comment ref="E130" authorId="0">
      <text>
        <r>
          <rPr>
            <b/>
            <sz val="9"/>
            <color indexed="81"/>
            <rFont val="Tahoma"/>
            <family val="2"/>
          </rPr>
          <t>Michelle Bogen:</t>
        </r>
        <r>
          <rPr>
            <sz val="9"/>
            <color indexed="81"/>
            <rFont val="Tahoma"/>
            <family val="2"/>
          </rPr>
          <t xml:space="preserve">
BLS Occupational Code 53-7051 (Industrial Truck and Tractor Operators)</t>
        </r>
      </text>
    </comment>
    <comment ref="E131" authorId="0">
      <text>
        <r>
          <rPr>
            <b/>
            <sz val="9"/>
            <color indexed="81"/>
            <rFont val="Tahoma"/>
            <family val="2"/>
          </rPr>
          <t>Michelle Bogen:</t>
        </r>
        <r>
          <rPr>
            <sz val="9"/>
            <color indexed="81"/>
            <rFont val="Tahoma"/>
            <family val="2"/>
          </rPr>
          <t xml:space="preserve">
BLS Occupational Code 53-3033 (Light Truck or Delivery Services Drivers)</t>
        </r>
      </text>
    </comment>
    <comment ref="E132" authorId="0">
      <text>
        <r>
          <rPr>
            <b/>
            <sz val="9"/>
            <color indexed="81"/>
            <rFont val="Tahoma"/>
            <family val="2"/>
          </rPr>
          <t>Michelle Bogen:</t>
        </r>
        <r>
          <rPr>
            <sz val="9"/>
            <color indexed="81"/>
            <rFont val="Tahoma"/>
            <family val="2"/>
          </rPr>
          <t xml:space="preserve">
BLS Occupational Code 51-1011 (First-Line Supervisors of Production and Operating Workers)</t>
        </r>
      </text>
    </comment>
    <comment ref="E133" authorId="0">
      <text>
        <r>
          <rPr>
            <b/>
            <sz val="9"/>
            <color indexed="81"/>
            <rFont val="Tahoma"/>
            <family val="2"/>
          </rPr>
          <t>Michelle Bogen:</t>
        </r>
        <r>
          <rPr>
            <sz val="9"/>
            <color indexed="81"/>
            <rFont val="Tahoma"/>
            <family val="2"/>
          </rPr>
          <t xml:space="preserve">
BLS Occupational Code 11-1011</t>
        </r>
      </text>
    </comment>
    <comment ref="E134" authorId="0">
      <text>
        <r>
          <rPr>
            <b/>
            <sz val="9"/>
            <color indexed="81"/>
            <rFont val="Tahoma"/>
            <family val="2"/>
          </rPr>
          <t>Michelle Bogen:</t>
        </r>
        <r>
          <rPr>
            <sz val="9"/>
            <color indexed="81"/>
            <rFont val="Tahoma"/>
            <family val="2"/>
          </rPr>
          <t xml:space="preserve">
BLS Occupational Code 17-2071</t>
        </r>
      </text>
    </comment>
    <comment ref="E135" authorId="0">
      <text>
        <r>
          <rPr>
            <b/>
            <sz val="9"/>
            <color indexed="81"/>
            <rFont val="Tahoma"/>
            <family val="2"/>
          </rPr>
          <t>Michelle Bogen:</t>
        </r>
        <r>
          <rPr>
            <sz val="9"/>
            <color indexed="81"/>
            <rFont val="Tahoma"/>
            <family val="2"/>
          </rPr>
          <t xml:space="preserve">
BLS Occupational Code 41-4011 (Sales Representatives, Wholesale and Manufacturing, Technical and Scientific Products)</t>
        </r>
      </text>
    </comment>
    <comment ref="E136" authorId="0">
      <text>
        <r>
          <rPr>
            <b/>
            <sz val="9"/>
            <color indexed="81"/>
            <rFont val="Tahoma"/>
            <family val="2"/>
          </rPr>
          <t>Michelle Bogen:</t>
        </r>
        <r>
          <rPr>
            <sz val="9"/>
            <color indexed="81"/>
            <rFont val="Tahoma"/>
            <family val="2"/>
          </rPr>
          <t xml:space="preserve">
BLS Occupational Code 43-6014 Secretaries and Administrative Assistants, Except Legal, Medical, and Executive</t>
        </r>
      </text>
    </comment>
    <comment ref="E137" authorId="0">
      <text>
        <r>
          <rPr>
            <b/>
            <sz val="9"/>
            <color indexed="81"/>
            <rFont val="Tahoma"/>
            <family val="2"/>
          </rPr>
          <t>Michelle Bogen:</t>
        </r>
        <r>
          <rPr>
            <sz val="9"/>
            <color indexed="81"/>
            <rFont val="Tahoma"/>
            <family val="2"/>
          </rPr>
          <t xml:space="preserve">
BLS Occupational Code 33-9032</t>
        </r>
      </text>
    </comment>
    <comment ref="E138" authorId="0">
      <text>
        <r>
          <rPr>
            <b/>
            <sz val="9"/>
            <color indexed="81"/>
            <rFont val="Tahoma"/>
            <family val="2"/>
          </rPr>
          <t>Michelle Bogen:</t>
        </r>
        <r>
          <rPr>
            <sz val="9"/>
            <color indexed="81"/>
            <rFont val="Tahoma"/>
            <family val="2"/>
          </rPr>
          <t xml:space="preserve">
BLS Occupational Code 11-3121</t>
        </r>
      </text>
    </comment>
    <comment ref="E139" authorId="0">
      <text>
        <r>
          <rPr>
            <b/>
            <sz val="9"/>
            <color indexed="81"/>
            <rFont val="Tahoma"/>
            <family val="2"/>
          </rPr>
          <t>Michelle Bogen:</t>
        </r>
        <r>
          <rPr>
            <sz val="9"/>
            <color indexed="81"/>
            <rFont val="Tahoma"/>
            <family val="2"/>
          </rPr>
          <t xml:space="preserve">
BLS Occupational Code 11-1021 (General and Operations Managers)</t>
        </r>
      </text>
    </comment>
    <comment ref="E140" authorId="0">
      <text>
        <r>
          <rPr>
            <b/>
            <sz val="9"/>
            <color indexed="81"/>
            <rFont val="Tahoma"/>
            <family val="2"/>
          </rPr>
          <t>Michelle Bogen:</t>
        </r>
        <r>
          <rPr>
            <sz val="9"/>
            <color indexed="81"/>
            <rFont val="Tahoma"/>
            <family val="2"/>
          </rPr>
          <t xml:space="preserve">
BLS Occupational Code 37-2011 (Janitors and Cleaners, Except Maids and Housekeeping Cleaners)</t>
        </r>
      </text>
    </comment>
  </commentList>
</comments>
</file>

<file path=xl/sharedStrings.xml><?xml version="1.0" encoding="utf-8"?>
<sst xmlns="http://schemas.openxmlformats.org/spreadsheetml/2006/main" count="278" uniqueCount="206">
  <si>
    <t>Year</t>
  </si>
  <si>
    <t>kWh</t>
  </si>
  <si>
    <t>$</t>
  </si>
  <si>
    <t>hrs</t>
  </si>
  <si>
    <t>Wh/kg</t>
  </si>
  <si>
    <t>Wh/L</t>
  </si>
  <si>
    <t>Module Nameplate Energy Density</t>
  </si>
  <si>
    <t>Module Nameplate Specific Energy</t>
  </si>
  <si>
    <t>Percent Remaining Energy @ time of repurposing</t>
  </si>
  <si>
    <t>Module Mass</t>
  </si>
  <si>
    <t>kg</t>
  </si>
  <si>
    <t>Module Volume</t>
  </si>
  <si>
    <t>cm^3</t>
  </si>
  <si>
    <t xml:space="preserve">  Module X</t>
  </si>
  <si>
    <t>cm</t>
  </si>
  <si>
    <t>ft</t>
  </si>
  <si>
    <t xml:space="preserve">  Module Y</t>
  </si>
  <si>
    <t xml:space="preserve">  Module Z</t>
  </si>
  <si>
    <t xml:space="preserve">  Module Footprint</t>
  </si>
  <si>
    <t>cm^2</t>
  </si>
  <si>
    <t>ft^2</t>
  </si>
  <si>
    <t>Approx Remaining Energy @ time of repurposing</t>
  </si>
  <si>
    <t>Number of Cells in Module</t>
  </si>
  <si>
    <t>Facility Throughput</t>
  </si>
  <si>
    <t xml:space="preserve">Facility nameplate annual throughput </t>
  </si>
  <si>
    <t>kWh/year</t>
  </si>
  <si>
    <t>Modules per year throughput</t>
  </si>
  <si>
    <t>Modules per day throughput</t>
  </si>
  <si>
    <t>Transportation</t>
  </si>
  <si>
    <t>Collection Scale</t>
  </si>
  <si>
    <t>Regional</t>
  </si>
  <si>
    <t>Typical Round Trip Collection Distance</t>
  </si>
  <si>
    <t>mi</t>
  </si>
  <si>
    <t>Typical Round Trip Collection Time</t>
  </si>
  <si>
    <t>Truck Type</t>
  </si>
  <si>
    <t>Truck Purchase Cost</t>
  </si>
  <si>
    <t>Truck Operational Cost</t>
  </si>
  <si>
    <t>$/mi</t>
  </si>
  <si>
    <t>Truck Cargo Volume</t>
  </si>
  <si>
    <t>Truck Cargo Mass</t>
  </si>
  <si>
    <t>Truck Module Capacity</t>
  </si>
  <si>
    <t>Trips per Year</t>
  </si>
  <si>
    <t>Total Collection Time</t>
  </si>
  <si>
    <t>Number of Trucks &amp; Drivers</t>
  </si>
  <si>
    <t>Total Miles Travelled per Year</t>
  </si>
  <si>
    <t>Shipping Containers</t>
  </si>
  <si>
    <t>Shipping Container Cost</t>
  </si>
  <si>
    <t>Module Handling &amp; Testing Time</t>
  </si>
  <si>
    <t>Receiving Inspection &amp; Handling</t>
  </si>
  <si>
    <t>minutes</t>
  </si>
  <si>
    <t>Connection to &amp; Initiation of Electrical Test Equipment</t>
  </si>
  <si>
    <t>Electrical Testing</t>
  </si>
  <si>
    <t xml:space="preserve">  Time Spent Charging</t>
  </si>
  <si>
    <t xml:space="preserve">  Average C-Rate for Charging</t>
  </si>
  <si>
    <t xml:space="preserve">  Annual Electricity for Testing</t>
  </si>
  <si>
    <t>Disconnection from Electrical Test Equipment</t>
  </si>
  <si>
    <t>Final Inspection and Packaging</t>
  </si>
  <si>
    <t>Total Technician Handling Time</t>
  </si>
  <si>
    <t>Modules per Technician per Year</t>
  </si>
  <si>
    <t>Receiving Pallets Moved per Day</t>
  </si>
  <si>
    <t>Time to Load and Move 1 Pallet</t>
  </si>
  <si>
    <t>Fork Lift Operator Time per Day</t>
  </si>
  <si>
    <t>hours</t>
  </si>
  <si>
    <t>Staff</t>
  </si>
  <si>
    <t>Number of Technicians</t>
  </si>
  <si>
    <t>Number of Forklift Operators</t>
  </si>
  <si>
    <t>Number of Truck Drivers</t>
  </si>
  <si>
    <t>Number of Supervisors</t>
  </si>
  <si>
    <t>Number of Sales Managers</t>
  </si>
  <si>
    <t>Number of Electrical Engineers</t>
  </si>
  <si>
    <t>Number of Operations Managers</t>
  </si>
  <si>
    <t>Number of Chief Executives</t>
  </si>
  <si>
    <t>Number of Administrative Assistants</t>
  </si>
  <si>
    <t>Number of Human Resources Personnel</t>
  </si>
  <si>
    <t>Number of Employees Onsite</t>
  </si>
  <si>
    <t>Facility Size</t>
  </si>
  <si>
    <t>Inspection, Test, and Packing</t>
  </si>
  <si>
    <t>Width+ Depth for Employee</t>
  </si>
  <si>
    <t>Width of Forklift</t>
  </si>
  <si>
    <t>Width of Hallway</t>
  </si>
  <si>
    <t>Number of Inspection Stations</t>
  </si>
  <si>
    <t>No.</t>
  </si>
  <si>
    <t>Number of Electrical Test Stations, Test Channels, CAN cards</t>
  </si>
  <si>
    <t>Number of Packing Stations</t>
  </si>
  <si>
    <t>Station Width</t>
  </si>
  <si>
    <t>Station Length</t>
  </si>
  <si>
    <t>Station Footprint</t>
  </si>
  <si>
    <t>Conveyer Width</t>
  </si>
  <si>
    <t>Conveyer Length</t>
  </si>
  <si>
    <t>Total Floor Width</t>
  </si>
  <si>
    <t>Total Floor Space</t>
  </si>
  <si>
    <t>Docks and Storage</t>
  </si>
  <si>
    <t>Floor Length for Forklift Maneuvering</t>
  </si>
  <si>
    <t>Incoming (Outgoing) Modules to Store</t>
  </si>
  <si>
    <t>Stack Height of Storage Rack</t>
  </si>
  <si>
    <t>Pallet Width</t>
  </si>
  <si>
    <t>Pallet Length</t>
  </si>
  <si>
    <t>Pallet Height</t>
  </si>
  <si>
    <t>Modules per Pallet</t>
  </si>
  <si>
    <t>Pallets per Rack</t>
  </si>
  <si>
    <t>Modules per Rack</t>
  </si>
  <si>
    <t>Number of Racks that can fit in width of facility</t>
  </si>
  <si>
    <t>Number of Recieving (Shipping) Racks Required</t>
  </si>
  <si>
    <t>Rows of Receiving (Shipping) Racks</t>
  </si>
  <si>
    <t>Total Number of Racks Required</t>
  </si>
  <si>
    <t>Total Floor Length for Racks</t>
  </si>
  <si>
    <t>Total Surface Area of Docks and Storage</t>
  </si>
  <si>
    <t>Offices, Etc.</t>
  </si>
  <si>
    <t>Total Length of Hallway</t>
  </si>
  <si>
    <t>Length of Offices, Restrooms</t>
  </si>
  <si>
    <t>No. of Offices</t>
  </si>
  <si>
    <t>Width of Office</t>
  </si>
  <si>
    <t>Total Width of Offices</t>
  </si>
  <si>
    <t>Surface Area of Restrooms</t>
  </si>
  <si>
    <t>Total Width of Restrooms</t>
  </si>
  <si>
    <t>Surface Area of Breakroom</t>
  </si>
  <si>
    <t>Surface Area of Workshop</t>
  </si>
  <si>
    <t>Total Surface Area of Offices, Etc.</t>
  </si>
  <si>
    <t>Capital Costs</t>
  </si>
  <si>
    <t>Category</t>
  </si>
  <si>
    <t>Description</t>
  </si>
  <si>
    <t>Qty</t>
  </si>
  <si>
    <t>Unit Cost</t>
  </si>
  <si>
    <t>Item Cost</t>
  </si>
  <si>
    <t>Total Cost</t>
  </si>
  <si>
    <t>Test Equipment</t>
  </si>
  <si>
    <t>Battery Test Channels</t>
  </si>
  <si>
    <t>CAN hardware</t>
  </si>
  <si>
    <t>Computers</t>
  </si>
  <si>
    <t>Materials Handling</t>
  </si>
  <si>
    <t>Conveyors</t>
  </si>
  <si>
    <t>Storage Racks</t>
  </si>
  <si>
    <t>Forklift</t>
  </si>
  <si>
    <t>MD Truck</t>
  </si>
  <si>
    <t>Work Stations</t>
  </si>
  <si>
    <t>Office &amp; Other</t>
  </si>
  <si>
    <t>Employment Costs</t>
  </si>
  <si>
    <t>Wages</t>
  </si>
  <si>
    <t>Test Technicians</t>
  </si>
  <si>
    <t>Chief Executive</t>
  </si>
  <si>
    <t>Security Guards</t>
  </si>
  <si>
    <t>Operations Manager</t>
  </si>
  <si>
    <t>Non-Wage Compensation</t>
  </si>
  <si>
    <t>Total Annual Expenses</t>
  </si>
  <si>
    <t>Direct Costs</t>
  </si>
  <si>
    <t>Battery Modules</t>
  </si>
  <si>
    <t>Pack Materials</t>
  </si>
  <si>
    <t>Battery Purchases</t>
  </si>
  <si>
    <t>Labor</t>
  </si>
  <si>
    <t>Rent</t>
  </si>
  <si>
    <t>Warranty</t>
  </si>
  <si>
    <t>G&amp;A</t>
  </si>
  <si>
    <t>Insurance</t>
  </si>
  <si>
    <t>Other Direct Costs</t>
  </si>
  <si>
    <t>Other</t>
  </si>
  <si>
    <t>Indirect Costs</t>
  </si>
  <si>
    <t>R&amp;D</t>
  </si>
  <si>
    <t>Required Revenue</t>
  </si>
  <si>
    <t>CT-Forced Battery Selling Price</t>
  </si>
  <si>
    <t>per module</t>
  </si>
  <si>
    <t>Federal Tax Rate</t>
  </si>
  <si>
    <t>Expenses</t>
  </si>
  <si>
    <t>Taxes</t>
  </si>
  <si>
    <t>Revenue</t>
  </si>
  <si>
    <t>Annual NPV</t>
  </si>
  <si>
    <t>Total NPV</t>
  </si>
  <si>
    <t>State Tax Rate</t>
  </si>
  <si>
    <t>Annual Revenue</t>
  </si>
  <si>
    <t>Yield (on modules)</t>
  </si>
  <si>
    <t>Comp. Tech. Forced Selling Price ($/kWh)</t>
  </si>
  <si>
    <t>Technician Supervisors</t>
  </si>
  <si>
    <t>Forklift Drivers</t>
  </si>
  <si>
    <t>Truck Drivers</t>
  </si>
  <si>
    <t>Electrical Engineers</t>
  </si>
  <si>
    <t>Sales/Logistics Reps</t>
  </si>
  <si>
    <t>Administrative Assistants</t>
  </si>
  <si>
    <t>Electricity</t>
  </si>
  <si>
    <t>Annual Profit</t>
  </si>
  <si>
    <t>Upfront Battery Purchases</t>
  </si>
  <si>
    <t>Local</t>
  </si>
  <si>
    <t>National</t>
  </si>
  <si>
    <t>Human Resources Manager</t>
  </si>
  <si>
    <t>Class 8 with 48' trailer</t>
  </si>
  <si>
    <t>24' Box Truck</t>
  </si>
  <si>
    <t>Cell Fault Rate</t>
  </si>
  <si>
    <t>Discount Rate</t>
  </si>
  <si>
    <t>Module Nameplate Energy</t>
  </si>
  <si>
    <t>Janitors</t>
  </si>
  <si>
    <t>Electricity: Testing (kWh)</t>
  </si>
  <si>
    <t>Electricity: HVAC &amp; Lighting (kWh)</t>
  </si>
  <si>
    <t>Module Properties</t>
  </si>
  <si>
    <t>Module Buying Price ($/kWh-nameplate)</t>
  </si>
  <si>
    <t>Effective Repurposing Cost ($/kWh-nameplate)</t>
  </si>
  <si>
    <t>Buying Price and Repurposing Cost</t>
  </si>
  <si>
    <t>Number of Security Guards</t>
  </si>
  <si>
    <t>Number of Janitors</t>
  </si>
  <si>
    <t>SOFTWARE USE AGREEMENT</t>
  </si>
  <si>
    <t>The user agrees to credit DOE/NREL/ALLIANCE in any publication that results from the use of this Software.  The names DOE/NREL/ALLIANCE, however, may not be used in any advertising or publicity to endorse or promote any products or commercial entities unless specific written permission is obtained from DOE/NREL/ ALLIANCE.  The user also understands that DOE/NREL/ALLIANCE is not obligated to provide the user with any support, consulting, training or assistance of any kind with regard to the use of the Software or to provide the user with any updates, revisions or new versions of the Software.</t>
  </si>
  <si>
    <t>USER AGREES TO INDEMNIFY DOE/NREL/ALLIANCE AND ITS SUBSIDIARIES, AFFILIATES, OFFICERS, AGENTS, AND EMPLOYEES AGAINST ANY CLAIM OR DEMAND, INCLUDING REASONABLE ATTORNEYS' FEES, RELATED TO USER’S USE OF THE SOFTWARE.  THE SOFTWARE IS PROVIDED BY DOE/NREL/ALLIANCE "AS IS," AND ANY EXPRESS OR IMPLIED WARRANTIES, INCLUDING BUT NOT LIMITED TO THE IMPLIED WARRANTIES OF MERCHANTABILITY AND FITNESS FOR A PARTICULAR PURPOSE ARE DISCLAIMED.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SOFTWARE.</t>
  </si>
  <si>
    <t xml:space="preserve">Results generated by use of this Software are dependent on many variables, including the quality of the data entered by the user and any assumptions made by the user in relation to data inputs.  Accordingly, DOE, NREL, and ALLIANCE cannot guarantee any results generated by use of the Software and user is entirely responsible for the results and any reliance on the results.  User shall not claim that DOE/NREL/ALLIANCE authenticate or otherwise agree with the results generated by the Software.   </t>
  </si>
  <si>
    <t>Access to the Repurposing Cost Calculator (“Software”) is provided by the National Renewable Energy Laboratory (“NREL”), which is operated by Alliance for Sustainable Energy, LLC (“ALLIANCE”), for the U.S. Department of Energy (“DOE”).</t>
  </si>
  <si>
    <t xml:space="preserve">Access to and use of this Software shall impose the following obligations on the user, and use of the Software constitutes user’s agreement to these terms. The Software is being provided, without any fee or cost, for internal, noncommercial purposes only and shall not be re-distributed. Please contact the NREL Technology Transfer Office at technology.transfer@nrel.gov for information concerning a commercial license to use the Software. </t>
  </si>
  <si>
    <t>DISCLAIMER</t>
  </si>
  <si>
    <t>The National Renewable Energy Laboratory (NREL) is operated for the U.S. Department of Energy (DOE) by Alliance for Sustainable Energy, LLC ("Alliance").</t>
  </si>
  <si>
    <t>Access to or use of any data or software made available on this server ("Data") shall impose the following obligations on the user, and use of the Data constitutes user's agreement to these terms. The user is granted the right, without any fee or cost, to use or copy the Data, provided that this entire notice appears in all copies of the Data. Further, the user agrees to credit DOE/NREL/ALLIANCE in any publication that results from the use of the Data. The names DOE/NREL/ALLIANCE, however, may not be used in any advertising or publicity to endorse or promote any products or commercial entities unless specific written permission is obtained from DOE/NREL/ ALLIANCE. The user also understands that DOE/NREL/ALLIANCE are not obligated to provide the user with any support, consulting, training or assistance of any kind with regard to the use of the Data or to provide the user with any updates, revisions or new versions thereof. DOE, NREL, and ALLIANCE do not guarantee or endorse any results generated by use of the Data, and user is entirely responsible for the results and any reliance on the results or the Data in general.</t>
  </si>
  <si>
    <t>USER AGREES TO INDEMNIFY DOE/NREL/ALLIANCE AND ITS SUBSIDIARIES, AFFILIATES, OFFICERS, AGENTS, AND EMPLOYEES AGAINST ANY CLAIM OR DEMAND, INCLUDING REASONABLE ATTORNEYS' FEES, RELATED TO USER'S USE OF THE DATA. THE DATA ARE PROVIDED BY DOE/NREL/ALLIANCE "AS IS," AND ANY EXPRESS OR IMPLIED WARRANTIES, INCLUDING BUT NOT LIMITED TO THE IMPLIED WARRANTIES OF MERCHANTABILITY AND FITNESS FOR A PARTICULAR PURPOSE ARE DISCLAIMED. DOE/NREL/ALLIANCE ASSUME NO LEGAL LIABILITY OR RESPONSIBILITY FOR THE ACCURACY, COMPLETENESS, OR USEFULNESS OF THE DATA, OR REPRESENT THAT ITS USE WOULD NOT INFRINGE PRIVATELY OWNED RIGHTS.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</si>
</sst>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
    <numFmt numFmtId="168" formatCode="mmm\ dd\,\ yyyy"/>
    <numFmt numFmtId="169" formatCode="0.0000%"/>
  </numFmts>
  <fonts count="29"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4"/>
      <color theme="1"/>
      <name val="Calibri"/>
      <family val="2"/>
      <scheme val="minor"/>
    </font>
    <font>
      <b/>
      <sz val="13"/>
      <color theme="3"/>
      <name val="Calibri"/>
      <family val="2"/>
      <scheme val="minor"/>
    </font>
    <font>
      <sz val="11"/>
      <color rgb="FF3F3F76"/>
      <name val="Calibri"/>
      <family val="2"/>
      <scheme val="minor"/>
    </font>
    <font>
      <b/>
      <sz val="11"/>
      <color rgb="FFFA7D00"/>
      <name val="Calibri"/>
      <family val="2"/>
      <scheme val="minor"/>
    </font>
    <font>
      <sz val="10"/>
      <name val="Arial"/>
      <family val="2"/>
    </font>
    <font>
      <sz val="8"/>
      <name val="Helv"/>
    </font>
    <font>
      <sz val="1"/>
      <color indexed="8"/>
      <name val="Courier"/>
      <family val="3"/>
    </font>
    <font>
      <b/>
      <sz val="1"/>
      <color indexed="8"/>
      <name val="Courier"/>
      <family val="3"/>
    </font>
    <font>
      <b/>
      <sz val="10"/>
      <name val="Arial"/>
      <family val="2"/>
    </font>
    <font>
      <i/>
      <sz val="12"/>
      <color theme="1"/>
      <name val="Calibri"/>
      <family val="2"/>
      <scheme val="minor"/>
    </font>
    <font>
      <b/>
      <sz val="12"/>
      <color theme="1"/>
      <name val="Calibri"/>
      <family val="2"/>
      <scheme val="minor"/>
    </font>
    <font>
      <sz val="12"/>
      <color theme="1"/>
      <name val="Calibri"/>
      <family val="2"/>
      <scheme val="minor"/>
    </font>
    <font>
      <sz val="11"/>
      <color theme="0" tint="-0.249977111117893"/>
      <name val="Calibri"/>
      <family val="2"/>
      <scheme val="minor"/>
    </font>
    <font>
      <u/>
      <sz val="10"/>
      <color rgb="FF000000"/>
      <name val="Tahoma"/>
      <family val="2"/>
    </font>
    <font>
      <b/>
      <sz val="11"/>
      <color rgb="FFFF0000"/>
      <name val="Calibri"/>
      <family val="2"/>
      <scheme val="minor"/>
    </font>
    <font>
      <b/>
      <sz val="9"/>
      <color indexed="81"/>
      <name val="Tahoma"/>
      <family val="2"/>
    </font>
    <font>
      <sz val="9"/>
      <color indexed="81"/>
      <name val="Tahoma"/>
      <family val="2"/>
    </font>
    <font>
      <sz val="12"/>
      <name val="Courier New"/>
    </font>
    <font>
      <u/>
      <sz val="10.45"/>
      <color indexed="12"/>
      <name val="Courier New"/>
      <family val="3"/>
    </font>
    <font>
      <sz val="10"/>
      <color theme="1"/>
      <name val="Arial"/>
      <family val="2"/>
    </font>
    <font>
      <sz val="11"/>
      <color rgb="FF000000"/>
      <name val="Calibri"/>
      <family val="2"/>
    </font>
    <font>
      <u/>
      <sz val="10"/>
      <name val="Tahoma"/>
      <family val="2"/>
    </font>
    <font>
      <b/>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3" tint="0.79998168889431442"/>
        <bgColor indexed="64"/>
      </patternFill>
    </fill>
  </fills>
  <borders count="7">
    <border>
      <left/>
      <right/>
      <top/>
      <bottom/>
      <diagonal/>
    </border>
    <border>
      <left/>
      <right/>
      <top style="thin">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22"/>
      </bottom>
      <diagonal/>
    </border>
    <border>
      <left style="medium">
        <color auto="1"/>
      </left>
      <right/>
      <top style="thin">
        <color indexed="64"/>
      </top>
      <bottom style="thin">
        <color indexed="64"/>
      </bottom>
      <diagonal/>
    </border>
  </borders>
  <cellStyleXfs count="46">
    <xf numFmtId="0" fontId="0" fillId="0" borderId="0"/>
    <xf numFmtId="0" fontId="3"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9" fillId="5" borderId="3"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166" fontId="10" fillId="0" borderId="0"/>
    <xf numFmtId="3" fontId="11" fillId="0" borderId="5" applyFill="0">
      <alignment horizontal="right"/>
    </xf>
    <xf numFmtId="0" fontId="12" fillId="0" borderId="0">
      <protection locked="0"/>
    </xf>
    <xf numFmtId="167" fontId="12" fillId="0" borderId="0">
      <protection locked="0"/>
    </xf>
    <xf numFmtId="0" fontId="7" fillId="0" borderId="2" applyNumberFormat="0" applyFill="0" applyAlignment="0" applyProtection="0"/>
    <xf numFmtId="0" fontId="13" fillId="0" borderId="0">
      <protection locked="0"/>
    </xf>
    <xf numFmtId="0" fontId="13" fillId="0" borderId="0">
      <protection locked="0"/>
    </xf>
    <xf numFmtId="0" fontId="8" fillId="4" borderId="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6" borderId="4"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2" borderId="0" applyProtection="0"/>
    <xf numFmtId="168" fontId="10" fillId="0" borderId="0" applyFill="0" applyBorder="0" applyAlignment="0" applyProtection="0">
      <alignment wrapText="1"/>
    </xf>
    <xf numFmtId="0" fontId="14" fillId="0" borderId="0" applyNumberFormat="0" applyFill="0" applyBorder="0">
      <alignment horizontal="center" wrapText="1"/>
    </xf>
    <xf numFmtId="0" fontId="14" fillId="0" borderId="0" applyNumberFormat="0" applyFill="0" applyBorder="0">
      <alignment horizontal="center" wrapText="1"/>
    </xf>
    <xf numFmtId="49" fontId="11" fillId="0" borderId="5" applyFill="0">
      <alignment horizontal="left"/>
    </xf>
    <xf numFmtId="0" fontId="23" fillId="0" borderId="0"/>
    <xf numFmtId="0" fontId="24" fillId="0" borderId="0" applyNumberFormat="0" applyFill="0" applyBorder="0" applyAlignment="0" applyProtection="0">
      <alignment vertical="top"/>
      <protection locked="0"/>
    </xf>
    <xf numFmtId="0" fontId="25" fillId="0" borderId="0"/>
    <xf numFmtId="43" fontId="25" fillId="0" borderId="0" applyFont="0" applyFill="0" applyBorder="0" applyAlignment="0" applyProtection="0"/>
  </cellStyleXfs>
  <cellXfs count="92">
    <xf numFmtId="0" fontId="0" fillId="0" borderId="0" xfId="0"/>
    <xf numFmtId="1" fontId="0" fillId="0" borderId="0" xfId="0" applyNumberFormat="1"/>
    <xf numFmtId="0" fontId="0" fillId="0" borderId="0" xfId="0" applyFill="1"/>
    <xf numFmtId="0" fontId="1" fillId="0" borderId="0" xfId="0" applyFont="1" applyFill="1"/>
    <xf numFmtId="0" fontId="0" fillId="0" borderId="0" xfId="0" applyAlignment="1">
      <alignment horizontal="right"/>
    </xf>
    <xf numFmtId="0" fontId="0" fillId="0" borderId="1" xfId="0" applyBorder="1"/>
    <xf numFmtId="0" fontId="0" fillId="0" borderId="0" xfId="0" applyFill="1" applyBorder="1"/>
    <xf numFmtId="2" fontId="0" fillId="0" borderId="0" xfId="0" applyNumberFormat="1"/>
    <xf numFmtId="165" fontId="0" fillId="0" borderId="0" xfId="0" applyNumberFormat="1"/>
    <xf numFmtId="0" fontId="0" fillId="0" borderId="0" xfId="0" applyBorder="1"/>
    <xf numFmtId="2" fontId="0" fillId="0" borderId="0" xfId="0" applyNumberFormat="1" applyBorder="1"/>
    <xf numFmtId="0" fontId="6" fillId="0" borderId="6" xfId="0" applyFont="1" applyBorder="1"/>
    <xf numFmtId="0" fontId="0" fillId="7" borderId="0" xfId="0" applyFill="1" applyBorder="1"/>
    <xf numFmtId="9" fontId="0" fillId="7" borderId="0" xfId="3" applyFont="1" applyFill="1"/>
    <xf numFmtId="165" fontId="0" fillId="0" borderId="0" xfId="0" applyNumberFormat="1" applyFill="1" applyBorder="1"/>
    <xf numFmtId="3" fontId="0" fillId="7" borderId="0" xfId="0" applyNumberFormat="1" applyFill="1" applyBorder="1"/>
    <xf numFmtId="0" fontId="0" fillId="0" borderId="0" xfId="0" applyBorder="1" applyAlignment="1">
      <alignment vertical="center" wrapText="1"/>
    </xf>
    <xf numFmtId="0" fontId="0" fillId="7" borderId="0" xfId="0" applyFill="1" applyBorder="1" applyAlignment="1">
      <alignment vertical="center" wrapText="1"/>
    </xf>
    <xf numFmtId="1" fontId="0" fillId="0" borderId="0" xfId="0" applyNumberFormat="1" applyBorder="1" applyAlignment="1">
      <alignment vertical="center" wrapText="1"/>
    </xf>
    <xf numFmtId="0" fontId="0" fillId="0" borderId="0" xfId="0" applyFill="1" applyBorder="1" applyAlignment="1">
      <alignment vertical="center" wrapText="1"/>
    </xf>
    <xf numFmtId="165" fontId="6" fillId="0" borderId="1" xfId="0" applyNumberFormat="1" applyFont="1" applyBorder="1"/>
    <xf numFmtId="0" fontId="6" fillId="0" borderId="1" xfId="0" applyFont="1" applyBorder="1"/>
    <xf numFmtId="0" fontId="15" fillId="0" borderId="0" xfId="0" applyFont="1" applyBorder="1" applyAlignment="1">
      <alignment horizontal="right"/>
    </xf>
    <xf numFmtId="0" fontId="0" fillId="0" borderId="0" xfId="0" applyFont="1" applyFill="1"/>
    <xf numFmtId="0" fontId="16" fillId="0" borderId="0" xfId="0" applyFont="1" applyBorder="1"/>
    <xf numFmtId="165" fontId="0" fillId="0" borderId="0" xfId="0" applyNumberFormat="1" applyFill="1"/>
    <xf numFmtId="0" fontId="17" fillId="0" borderId="0" xfId="0" applyFont="1" applyBorder="1"/>
    <xf numFmtId="0" fontId="0" fillId="0" borderId="0" xfId="0" applyFont="1" applyFill="1" applyBorder="1"/>
    <xf numFmtId="165" fontId="0" fillId="0" borderId="0" xfId="0" applyNumberFormat="1" applyFont="1" applyFill="1"/>
    <xf numFmtId="165" fontId="0" fillId="0" borderId="0" xfId="0" applyNumberFormat="1" applyFont="1" applyFill="1" applyBorder="1"/>
    <xf numFmtId="44" fontId="6" fillId="0" borderId="1" xfId="0" applyNumberFormat="1" applyFont="1" applyFill="1" applyBorder="1"/>
    <xf numFmtId="0" fontId="1" fillId="0" borderId="0" xfId="0" applyFont="1" applyBorder="1"/>
    <xf numFmtId="44" fontId="0" fillId="0" borderId="0" xfId="0" applyNumberFormat="1" applyBorder="1"/>
    <xf numFmtId="44" fontId="0" fillId="0" borderId="0" xfId="2" applyFont="1" applyFill="1" applyBorder="1"/>
    <xf numFmtId="44" fontId="0" fillId="0" borderId="0" xfId="2" applyFont="1" applyBorder="1"/>
    <xf numFmtId="0" fontId="18" fillId="0" borderId="0" xfId="0" applyFont="1" applyBorder="1"/>
    <xf numFmtId="0" fontId="3" fillId="0" borderId="1" xfId="1" applyBorder="1"/>
    <xf numFmtId="6" fontId="19" fillId="0" borderId="0" xfId="0" applyNumberFormat="1" applyFont="1" applyFill="1" applyBorder="1"/>
    <xf numFmtId="0" fontId="18" fillId="0" borderId="0" xfId="0" applyFont="1" applyFill="1" applyBorder="1"/>
    <xf numFmtId="44" fontId="18" fillId="0" borderId="0" xfId="2" applyFont="1" applyFill="1" applyBorder="1"/>
    <xf numFmtId="6" fontId="19" fillId="0" borderId="0" xfId="0" applyNumberFormat="1" applyFont="1" applyBorder="1"/>
    <xf numFmtId="44" fontId="1" fillId="3" borderId="0" xfId="2" applyFont="1" applyFill="1" applyBorder="1"/>
    <xf numFmtId="9" fontId="0" fillId="0" borderId="0" xfId="3" applyFont="1" applyBorder="1"/>
    <xf numFmtId="10" fontId="0" fillId="0" borderId="0" xfId="3" applyNumberFormat="1" applyFont="1" applyBorder="1"/>
    <xf numFmtId="0" fontId="0" fillId="0" borderId="1" xfId="0" applyFill="1" applyBorder="1"/>
    <xf numFmtId="164" fontId="0" fillId="0" borderId="0" xfId="2" applyNumberFormat="1" applyFont="1" applyFill="1" applyBorder="1"/>
    <xf numFmtId="9" fontId="0" fillId="0" borderId="0" xfId="0" applyNumberFormat="1" applyBorder="1"/>
    <xf numFmtId="0" fontId="6" fillId="0" borderId="0" xfId="0" applyFont="1" applyBorder="1"/>
    <xf numFmtId="0" fontId="1" fillId="0" borderId="0" xfId="0" applyFont="1" applyFill="1" applyBorder="1"/>
    <xf numFmtId="44" fontId="1" fillId="0" borderId="0" xfId="2" applyFont="1" applyFill="1" applyBorder="1"/>
    <xf numFmtId="0" fontId="20" fillId="0" borderId="0" xfId="0" applyFont="1" applyBorder="1"/>
    <xf numFmtId="3" fontId="1" fillId="0" borderId="0" xfId="0" applyNumberFormat="1" applyFont="1" applyFill="1"/>
    <xf numFmtId="0" fontId="0" fillId="0" borderId="0" xfId="0" applyFont="1"/>
    <xf numFmtId="10" fontId="1" fillId="0" borderId="0" xfId="3" applyNumberFormat="1" applyFont="1" applyFill="1" applyBorder="1"/>
    <xf numFmtId="44" fontId="1" fillId="0" borderId="0" xfId="0" applyNumberFormat="1" applyFont="1" applyFill="1" applyBorder="1"/>
    <xf numFmtId="44" fontId="20" fillId="0" borderId="0" xfId="0" applyNumberFormat="1" applyFont="1" applyBorder="1"/>
    <xf numFmtId="9" fontId="20" fillId="0" borderId="0" xfId="0" applyNumberFormat="1" applyFont="1" applyBorder="1"/>
    <xf numFmtId="10" fontId="0" fillId="0" borderId="0" xfId="0" applyNumberFormat="1" applyFill="1" applyBorder="1"/>
    <xf numFmtId="0" fontId="5" fillId="0" borderId="0" xfId="0" applyFont="1" applyBorder="1"/>
    <xf numFmtId="44" fontId="5" fillId="0" borderId="0" xfId="2" applyFont="1" applyBorder="1"/>
    <xf numFmtId="44" fontId="5" fillId="0" borderId="0" xfId="2" applyFont="1" applyFill="1" applyBorder="1"/>
    <xf numFmtId="44" fontId="0" fillId="0" borderId="0" xfId="2" applyFont="1" applyFill="1"/>
    <xf numFmtId="44" fontId="0" fillId="0" borderId="0" xfId="2" applyFont="1"/>
    <xf numFmtId="0" fontId="5" fillId="0" borderId="0" xfId="0" applyFont="1" applyBorder="1" applyAlignment="1">
      <alignment horizontal="left"/>
    </xf>
    <xf numFmtId="0" fontId="0" fillId="0" borderId="0" xfId="0" applyFill="1" applyAlignment="1">
      <alignment horizontal="right"/>
    </xf>
    <xf numFmtId="2" fontId="0" fillId="0" borderId="0" xfId="3" applyNumberFormat="1" applyFont="1"/>
    <xf numFmtId="0" fontId="2" fillId="0" borderId="0" xfId="0" applyFont="1" applyBorder="1" applyAlignment="1">
      <alignment horizontal="right" vertical="center" wrapText="1"/>
    </xf>
    <xf numFmtId="0" fontId="2" fillId="0" borderId="0" xfId="0" applyFont="1" applyFill="1" applyBorder="1" applyAlignment="1">
      <alignment horizontal="right" vertical="center" wrapText="1"/>
    </xf>
    <xf numFmtId="1" fontId="0" fillId="0" borderId="0" xfId="0" applyNumberFormat="1" applyFill="1"/>
    <xf numFmtId="0" fontId="0" fillId="7" borderId="1" xfId="0" applyFill="1" applyBorder="1"/>
    <xf numFmtId="0" fontId="0" fillId="7" borderId="0" xfId="0" applyFill="1" applyAlignment="1">
      <alignment horizontal="right"/>
    </xf>
    <xf numFmtId="0" fontId="0" fillId="7" borderId="0" xfId="0" applyFill="1"/>
    <xf numFmtId="1" fontId="0" fillId="7" borderId="0" xfId="0" applyNumberFormat="1" applyFill="1" applyBorder="1" applyAlignment="1">
      <alignment vertical="center" wrapText="1"/>
    </xf>
    <xf numFmtId="165" fontId="0" fillId="7" borderId="0" xfId="0" applyNumberFormat="1" applyFill="1"/>
    <xf numFmtId="0" fontId="0" fillId="7" borderId="0" xfId="0" applyFont="1" applyFill="1"/>
    <xf numFmtId="0" fontId="0" fillId="7" borderId="0" xfId="0" applyFont="1" applyFill="1" applyBorder="1"/>
    <xf numFmtId="44" fontId="0" fillId="7" borderId="0" xfId="2" applyFont="1" applyFill="1" applyBorder="1"/>
    <xf numFmtId="6" fontId="27" fillId="0" borderId="0" xfId="0" applyNumberFormat="1" applyFont="1" applyFill="1" applyBorder="1"/>
    <xf numFmtId="6" fontId="27" fillId="0" borderId="0" xfId="0" applyNumberFormat="1" applyFont="1" applyBorder="1"/>
    <xf numFmtId="166" fontId="0" fillId="7" borderId="0" xfId="3" applyNumberFormat="1" applyFont="1" applyFill="1" applyBorder="1"/>
    <xf numFmtId="9" fontId="0" fillId="7" borderId="0" xfId="3" applyFont="1" applyFill="1" applyBorder="1"/>
    <xf numFmtId="169" fontId="4" fillId="7" borderId="0" xfId="3" applyNumberFormat="1" applyFont="1" applyFill="1" applyBorder="1"/>
    <xf numFmtId="44" fontId="4" fillId="7" borderId="0" xfId="2" applyFont="1" applyFill="1" applyBorder="1"/>
    <xf numFmtId="44" fontId="4" fillId="0" borderId="0" xfId="2" applyFont="1" applyFill="1"/>
    <xf numFmtId="44" fontId="0" fillId="0" borderId="0" xfId="0" applyNumberFormat="1" applyFont="1" applyFill="1" applyBorder="1"/>
    <xf numFmtId="0" fontId="3" fillId="0" borderId="0" xfId="1" applyBorder="1"/>
    <xf numFmtId="0" fontId="5" fillId="0" borderId="0" xfId="0" applyFont="1" applyFill="1" applyBorder="1"/>
    <xf numFmtId="10" fontId="0" fillId="0" borderId="0" xfId="3" applyNumberFormat="1" applyFont="1" applyFill="1" applyBorder="1"/>
    <xf numFmtId="0" fontId="28"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wrapText="1"/>
    </xf>
  </cellXfs>
  <cellStyles count="46">
    <cellStyle name="Calculation 2" xfId="4"/>
    <cellStyle name="Comma 2" xfId="45"/>
    <cellStyle name="Currency" xfId="2" builtinId="4"/>
    <cellStyle name="Currency 2" xfId="5"/>
    <cellStyle name="Currency 3" xfId="6"/>
    <cellStyle name="Currency 4" xfId="7"/>
    <cellStyle name="Currency 4 2" xfId="8"/>
    <cellStyle name="Currency 5" xfId="9"/>
    <cellStyle name="cycGrade" xfId="10"/>
    <cellStyle name="Data" xfId="11"/>
    <cellStyle name="Date" xfId="12"/>
    <cellStyle name="Fixed" xfId="13"/>
    <cellStyle name="Heading 2 2" xfId="14"/>
    <cellStyle name="Heading1" xfId="15"/>
    <cellStyle name="Heading2" xfId="16"/>
    <cellStyle name="Hyperlink" xfId="1" builtinId="8"/>
    <cellStyle name="Hyperlink 2" xfId="43"/>
    <cellStyle name="Input 2" xfId="17"/>
    <cellStyle name="Normal" xfId="0" builtinId="0"/>
    <cellStyle name="Normal 10" xfId="18"/>
    <cellStyle name="Normal 10 2" xfId="19"/>
    <cellStyle name="Normal 11" xfId="20"/>
    <cellStyle name="Normal 11 2" xfId="21"/>
    <cellStyle name="Normal 12" xfId="22"/>
    <cellStyle name="Normal 12 2" xfId="23"/>
    <cellStyle name="Normal 13" xfId="42"/>
    <cellStyle name="Normal 14" xfId="44"/>
    <cellStyle name="Normal 2" xfId="24"/>
    <cellStyle name="Normal 3" xfId="25"/>
    <cellStyle name="Normal 4" xfId="26"/>
    <cellStyle name="Normal 5" xfId="27"/>
    <cellStyle name="Normal 6" xfId="28"/>
    <cellStyle name="Normal 7" xfId="29"/>
    <cellStyle name="Normal 8" xfId="30"/>
    <cellStyle name="Normal 8 2" xfId="31"/>
    <cellStyle name="Normal 9" xfId="32"/>
    <cellStyle name="Note 2" xfId="33"/>
    <cellStyle name="Percent" xfId="3" builtinId="5"/>
    <cellStyle name="Percent 2" xfId="34"/>
    <cellStyle name="Percent 2 2" xfId="35"/>
    <cellStyle name="Percent 3" xfId="36"/>
    <cellStyle name="Run" xfId="37"/>
    <cellStyle name="Style 27" xfId="38"/>
    <cellStyle name="Style 35" xfId="39"/>
    <cellStyle name="Style 36" xfId="40"/>
    <cellStyle name="Wrap"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microsoft.com/office/2006/relationships/vbaProject" Target="vbaProject.bin"/><Relationship Id="rId4" Type="http://schemas.openxmlformats.org/officeDocument/2006/relationships/externalLink" Target="externalLinks/externalLink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Labor Costs</a:t>
            </a:r>
          </a:p>
        </c:rich>
      </c:tx>
      <c:overlay val="0"/>
    </c:title>
    <c:autoTitleDeleted val="0"/>
    <c:view3D>
      <c:rotX val="75"/>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Repurposing!$J$129:$J$138</c:f>
              <c:strCache>
                <c:ptCount val="10"/>
                <c:pt idx="0">
                  <c:v>Test Technicians</c:v>
                </c:pt>
                <c:pt idx="1">
                  <c:v>Electrical Engineers</c:v>
                </c:pt>
                <c:pt idx="2">
                  <c:v>Sales/Logistics Reps</c:v>
                </c:pt>
                <c:pt idx="3">
                  <c:v>Technician Supervisors</c:v>
                </c:pt>
                <c:pt idx="4">
                  <c:v>Chief Executive</c:v>
                </c:pt>
                <c:pt idx="5">
                  <c:v>Forklift Drivers</c:v>
                </c:pt>
                <c:pt idx="6">
                  <c:v>Operations Manager</c:v>
                </c:pt>
                <c:pt idx="7">
                  <c:v>Administrative Assistants</c:v>
                </c:pt>
                <c:pt idx="8">
                  <c:v>Human Resources Manager</c:v>
                </c:pt>
                <c:pt idx="9">
                  <c:v>Truck Drivers</c:v>
                </c:pt>
              </c:strCache>
            </c:strRef>
          </c:cat>
          <c:val>
            <c:numRef>
              <c:f>Repurposing!$K$129:$K$138</c:f>
              <c:numCache>
                <c:formatCode>_("$"* #,##0.00_);_("$"* \(#,##0.00\);_("$"* "-"??_);_(@_)</c:formatCode>
                <c:ptCount val="10"/>
                <c:pt idx="0">
                  <c:v>7534140</c:v>
                </c:pt>
                <c:pt idx="1">
                  <c:v>933800</c:v>
                </c:pt>
                <c:pt idx="2">
                  <c:v>856100</c:v>
                </c:pt>
                <c:pt idx="3">
                  <c:v>1221150</c:v>
                </c:pt>
                <c:pt idx="4">
                  <c:v>178400</c:v>
                </c:pt>
                <c:pt idx="5">
                  <c:v>261280</c:v>
                </c:pt>
                <c:pt idx="6">
                  <c:v>116090</c:v>
                </c:pt>
                <c:pt idx="7">
                  <c:v>306000</c:v>
                </c:pt>
                <c:pt idx="8">
                  <c:v>806400</c:v>
                </c:pt>
                <c:pt idx="9">
                  <c:v>66980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59296493980767606"/>
          <c:y val="0.1838235458228093"/>
          <c:w val="0.38894995052701958"/>
          <c:h val="0.7456152424031633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Capital Costs</a:t>
            </a:r>
          </a:p>
        </c:rich>
      </c:tx>
      <c:overlay val="0"/>
    </c:title>
    <c:autoTitleDeleted val="0"/>
    <c:view3D>
      <c:rotX val="75"/>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Repurposing!$J$112:$J$121</c:f>
              <c:strCache>
                <c:ptCount val="10"/>
                <c:pt idx="0">
                  <c:v>Upfront Battery Purchases</c:v>
                </c:pt>
                <c:pt idx="1">
                  <c:v>Battery Test Channels</c:v>
                </c:pt>
                <c:pt idx="2">
                  <c:v>MD Truck</c:v>
                </c:pt>
                <c:pt idx="3">
                  <c:v>Shipping Containers</c:v>
                </c:pt>
                <c:pt idx="4">
                  <c:v>Conveyors</c:v>
                </c:pt>
                <c:pt idx="5">
                  <c:v>Storage Racks</c:v>
                </c:pt>
                <c:pt idx="6">
                  <c:v>Computers</c:v>
                </c:pt>
                <c:pt idx="7">
                  <c:v>Forklift</c:v>
                </c:pt>
                <c:pt idx="8">
                  <c:v>Work Stations</c:v>
                </c:pt>
                <c:pt idx="9">
                  <c:v>CAN hardware</c:v>
                </c:pt>
              </c:strCache>
            </c:strRef>
          </c:cat>
          <c:val>
            <c:numRef>
              <c:f>Repurposing!$K$112:$K$121</c:f>
              <c:numCache>
                <c:formatCode>_("$"* #,##0.00_);_("$"* \(#,##0.00\);_("$"* "-"??_);_(@_)</c:formatCode>
                <c:ptCount val="10"/>
                <c:pt idx="0">
                  <c:v>1634980.4399524143</c:v>
                </c:pt>
                <c:pt idx="1">
                  <c:v>700000</c:v>
                </c:pt>
                <c:pt idx="2">
                  <c:v>282000</c:v>
                </c:pt>
                <c:pt idx="3">
                  <c:v>261000</c:v>
                </c:pt>
                <c:pt idx="4">
                  <c:v>28500</c:v>
                </c:pt>
                <c:pt idx="5">
                  <c:v>3200</c:v>
                </c:pt>
                <c:pt idx="6">
                  <c:v>27000</c:v>
                </c:pt>
                <c:pt idx="7">
                  <c:v>14000</c:v>
                </c:pt>
                <c:pt idx="8">
                  <c:v>38000</c:v>
                </c:pt>
                <c:pt idx="9">
                  <c:v>5600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59296493980767606"/>
          <c:y val="0.1838235458228093"/>
          <c:w val="0.38894995052701958"/>
          <c:h val="0.7456152424031633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Annual Costs</a:t>
            </a:r>
          </a:p>
        </c:rich>
      </c:tx>
      <c:overlay val="0"/>
    </c:title>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7.7125392352175082E-2"/>
          <c:y val="0.26110055090782619"/>
          <c:w val="0.56407190325844081"/>
          <c:h val="0.64302772394347341"/>
        </c:manualLayout>
      </c:layout>
      <c:pie3DChart>
        <c:varyColors val="1"/>
        <c:ser>
          <c:idx val="0"/>
          <c:order val="0"/>
          <c:dLbls>
            <c:showLegendKey val="0"/>
            <c:showVal val="0"/>
            <c:showCatName val="0"/>
            <c:showSerName val="0"/>
            <c:showPercent val="1"/>
            <c:showBubbleSize val="0"/>
            <c:showLeaderLines val="1"/>
          </c:dLbls>
          <c:cat>
            <c:strRef>
              <c:f>Repurposing!$J$147:$J$154</c:f>
              <c:strCache>
                <c:ptCount val="8"/>
                <c:pt idx="0">
                  <c:v>Battery Purchases</c:v>
                </c:pt>
                <c:pt idx="1">
                  <c:v>Labor</c:v>
                </c:pt>
                <c:pt idx="2">
                  <c:v>Electricity</c:v>
                </c:pt>
                <c:pt idx="3">
                  <c:v>Warranty</c:v>
                </c:pt>
                <c:pt idx="4">
                  <c:v>G&amp;A</c:v>
                </c:pt>
                <c:pt idx="5">
                  <c:v>R&amp;D</c:v>
                </c:pt>
                <c:pt idx="6">
                  <c:v>Insurance</c:v>
                </c:pt>
                <c:pt idx="7">
                  <c:v>Other</c:v>
                </c:pt>
              </c:strCache>
            </c:strRef>
          </c:cat>
          <c:val>
            <c:numRef>
              <c:f>Repurposing!$K$147:$K$154</c:f>
              <c:numCache>
                <c:formatCode>_("$"* #,##0.00_);_("$"* \(#,##0.00\);_("$"* "-"??_);_(@_)</c:formatCode>
                <c:ptCount val="8"/>
                <c:pt idx="0">
                  <c:v>19619765.27942897</c:v>
                </c:pt>
                <c:pt idx="1">
                  <c:v>15989002.68</c:v>
                </c:pt>
                <c:pt idx="2">
                  <c:v>98328.5015717153</c:v>
                </c:pt>
                <c:pt idx="3">
                  <c:v>2192532.6643275088</c:v>
                </c:pt>
                <c:pt idx="4">
                  <c:v>1807991.3945985902</c:v>
                </c:pt>
                <c:pt idx="5">
                  <c:v>1084794.836759154</c:v>
                </c:pt>
                <c:pt idx="6">
                  <c:v>1084794.836759154</c:v>
                </c:pt>
                <c:pt idx="7">
                  <c:v>452731.43097111583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59296493980767606"/>
          <c:y val="0.1838235458228093"/>
          <c:w val="0.38894995052701958"/>
          <c:h val="0.7456152424031633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Capital Costs</a:t>
            </a:r>
          </a:p>
        </c:rich>
      </c:tx>
      <c:overlay val="0"/>
    </c:title>
    <c:autoTitleDeleted val="0"/>
    <c:view3D>
      <c:rotX val="75"/>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Repurposing!$J$123:$J$125</c:f>
              <c:strCache>
                <c:ptCount val="3"/>
                <c:pt idx="0">
                  <c:v>Upfront Battery Purchases</c:v>
                </c:pt>
                <c:pt idx="1">
                  <c:v>Battery Test Channels</c:v>
                </c:pt>
                <c:pt idx="2">
                  <c:v>Other</c:v>
                </c:pt>
              </c:strCache>
            </c:strRef>
          </c:cat>
          <c:val>
            <c:numRef>
              <c:f>Repurposing!$K$123:$K$125</c:f>
              <c:numCache>
                <c:formatCode>_("$"* #,##0.00_);_("$"* \(#,##0.00\);_("$"* "-"??_);_(@_)</c:formatCode>
                <c:ptCount val="3"/>
                <c:pt idx="0">
                  <c:v>1634980.4399524143</c:v>
                </c:pt>
                <c:pt idx="1">
                  <c:v>700000</c:v>
                </c:pt>
                <c:pt idx="2">
                  <c:v>759300</c:v>
                </c:pt>
              </c:numCache>
            </c:numRef>
          </c:val>
        </c:ser>
        <c:dLbls>
          <c:showLegendKey val="0"/>
          <c:showVal val="0"/>
          <c:showCatName val="0"/>
          <c:showSerName val="0"/>
          <c:showPercent val="1"/>
          <c:showBubbleSize val="0"/>
          <c:showLeaderLines val="1"/>
        </c:dLbls>
      </c:pie3DChart>
      <c:spPr>
        <a:ln>
          <a:noFill/>
        </a:ln>
      </c:spPr>
    </c:plotArea>
    <c:legend>
      <c:legendPos val="r"/>
      <c:layout>
        <c:manualLayout>
          <c:xMode val="edge"/>
          <c:yMode val="edge"/>
          <c:x val="0.57186564519815419"/>
          <c:y val="0.27358320716886947"/>
          <c:w val="0.38894995052701958"/>
          <c:h val="0.62278623214013373"/>
        </c:manualLayou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449580</xdr:colOff>
          <xdr:row>169</xdr:row>
          <xdr:rowOff>175260</xdr:rowOff>
        </xdr:from>
        <xdr:to>
          <xdr:col>0</xdr:col>
          <xdr:colOff>1722120</xdr:colOff>
          <xdr:row>172</xdr:row>
          <xdr:rowOff>106680</xdr:rowOff>
        </xdr:to>
        <xdr:sp macro="" textlink="">
          <xdr:nvSpPr>
            <xdr:cNvPr id="16385" name="Button 1" hidden="1">
              <a:extLst>
                <a:ext uri="{63B3BB69-23CF-44E3-9099-C40C66FF867C}">
                  <a14:compatExt spid="_x0000_s1638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Calculate Battery Buy Cost</a:t>
              </a:r>
            </a:p>
          </xdr:txBody>
        </xdr:sp>
        <xdr:clientData fPrintsWithSheet="0"/>
      </xdr:twoCellAnchor>
    </mc:Choice>
    <mc:Fallback/>
  </mc:AlternateContent>
  <xdr:twoCellAnchor>
    <xdr:from>
      <xdr:col>11</xdr:col>
      <xdr:colOff>597274</xdr:colOff>
      <xdr:row>126</xdr:row>
      <xdr:rowOff>156882</xdr:rowOff>
    </xdr:from>
    <xdr:to>
      <xdr:col>15</xdr:col>
      <xdr:colOff>855009</xdr:colOff>
      <xdr:row>140</xdr:row>
      <xdr:rowOff>178172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603437</xdr:colOff>
      <xdr:row>110</xdr:row>
      <xdr:rowOff>52668</xdr:rowOff>
    </xdr:from>
    <xdr:to>
      <xdr:col>15</xdr:col>
      <xdr:colOff>861172</xdr:colOff>
      <xdr:row>124</xdr:row>
      <xdr:rowOff>73958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609601</xdr:colOff>
      <xdr:row>145</xdr:row>
      <xdr:rowOff>5603</xdr:rowOff>
    </xdr:from>
    <xdr:to>
      <xdr:col>15</xdr:col>
      <xdr:colOff>867336</xdr:colOff>
      <xdr:row>159</xdr:row>
      <xdr:rowOff>26893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127188</xdr:colOff>
      <xdr:row>110</xdr:row>
      <xdr:rowOff>96931</xdr:rowOff>
    </xdr:from>
    <xdr:to>
      <xdr:col>22</xdr:col>
      <xdr:colOff>26334</xdr:colOff>
      <xdr:row>124</xdr:row>
      <xdr:rowOff>118221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rivate/var/folders/uM/uM0RjeSRG40mJ2FhFIx7b++++TM/-Tmp-/com.apple.mail/compose/attach/server/SHARED/Consulting%20Services/1%20-%20Toolbox/2%20-%20EAS%20Tool%20Suite/Rate%20Tools/Rate%20Tool%20v3.0%20Bet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400/AVS_Group/Tasks/Energy_Storage/ESSE/Second%20Battery%20Use/NREL-CCSE%202U%20Project/Update%202011-08-02/Second%20Use%20Electric%20Vehicle%20Battery%20Forecast%20v%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400/Energy_Storage/FOA/FY13/RANGE/LiquidBatteries/Technical/Chem2Pack_2014_09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Cost Calcs. "/>
      <sheetName val="Grpahical Clcualtion"/>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Report"/>
      <sheetName val="Inputs"/>
      <sheetName val="Outputs"/>
      <sheetName val="Output_Graph"/>
      <sheetName val="Sheet1"/>
      <sheetName val="MonteCarlo_old"/>
      <sheetName val="Inputs_old"/>
      <sheetName val="Outputs_old"/>
      <sheetName val="Storage Resources_Power"/>
    </sheetNames>
    <sheetDataSet>
      <sheetData sheetId="0">
        <row r="14">
          <cell r="D14" t="str">
            <v>0e313635-7323-4950-a4ac-766c7cea831c</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rietary"/>
      <sheetName val="Compounds"/>
      <sheetName val="ChemCalcs"/>
      <sheetName val="PackCalcs"/>
      <sheetName val="SOA Comp"/>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topLeftCell="A10" workbookViewId="0">
      <selection activeCell="D13" sqref="D13"/>
    </sheetView>
  </sheetViews>
  <sheetFormatPr defaultRowHeight="14.4" x14ac:dyDescent="0.3"/>
  <cols>
    <col min="1" max="1" width="107" customWidth="1"/>
  </cols>
  <sheetData>
    <row r="1" spans="1:1" x14ac:dyDescent="0.3">
      <c r="A1" s="88" t="s">
        <v>196</v>
      </c>
    </row>
    <row r="2" spans="1:1" x14ac:dyDescent="0.3">
      <c r="A2" s="89"/>
    </row>
    <row r="3" spans="1:1" ht="46.2" customHeight="1" x14ac:dyDescent="0.3">
      <c r="A3" s="90" t="s">
        <v>200</v>
      </c>
    </row>
    <row r="4" spans="1:1" s="91" customFormat="1" ht="69" customHeight="1" x14ac:dyDescent="0.3">
      <c r="A4" s="91" t="s">
        <v>201</v>
      </c>
    </row>
    <row r="5" spans="1:1" ht="92.4" customHeight="1" x14ac:dyDescent="0.3">
      <c r="A5" s="90" t="s">
        <v>197</v>
      </c>
    </row>
    <row r="6" spans="1:1" ht="135.6" customHeight="1" x14ac:dyDescent="0.3">
      <c r="A6" s="90" t="s">
        <v>198</v>
      </c>
    </row>
    <row r="7" spans="1:1" ht="71.400000000000006" customHeight="1" x14ac:dyDescent="0.3">
      <c r="A7" s="90" t="s">
        <v>199</v>
      </c>
    </row>
    <row r="9" spans="1:1" x14ac:dyDescent="0.3">
      <c r="A9" s="88" t="s">
        <v>202</v>
      </c>
    </row>
    <row r="11" spans="1:1" ht="46.2" customHeight="1" x14ac:dyDescent="0.3">
      <c r="A11" s="90" t="s">
        <v>203</v>
      </c>
    </row>
    <row r="12" spans="1:1" ht="139.19999999999999" customHeight="1" x14ac:dyDescent="0.3">
      <c r="A12" s="90" t="s">
        <v>204</v>
      </c>
    </row>
    <row r="13" spans="1:1" ht="161.4" customHeight="1" x14ac:dyDescent="0.3">
      <c r="A13" s="90"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K173"/>
  <sheetViews>
    <sheetView zoomScale="80" zoomScaleNormal="80" workbookViewId="0">
      <selection activeCell="A7" sqref="A7"/>
    </sheetView>
  </sheetViews>
  <sheetFormatPr defaultColWidth="8.88671875" defaultRowHeight="14.4" x14ac:dyDescent="0.3"/>
  <cols>
    <col min="1" max="1" width="32.5546875" customWidth="1"/>
    <col min="2" max="2" width="56.44140625" bestFit="1" customWidth="1"/>
    <col min="3" max="3" width="30.5546875" customWidth="1"/>
    <col min="4" max="4" width="23.44140625" customWidth="1"/>
    <col min="5" max="5" width="23.33203125" customWidth="1"/>
    <col min="6" max="6" width="18.44140625" customWidth="1"/>
    <col min="7" max="7" width="20.33203125" customWidth="1"/>
    <col min="8" max="8" width="22.33203125" customWidth="1"/>
    <col min="9" max="10" width="19.5546875" customWidth="1"/>
    <col min="11" max="11" width="19.44140625" bestFit="1" customWidth="1"/>
    <col min="12" max="13" width="14.109375" customWidth="1"/>
    <col min="14" max="14" width="17" customWidth="1"/>
    <col min="15" max="18" width="14.109375" customWidth="1"/>
    <col min="19" max="19" width="9.6640625" bestFit="1" customWidth="1"/>
  </cols>
  <sheetData>
    <row r="1" spans="1:6" s="5" customFormat="1" ht="18" x14ac:dyDescent="0.35">
      <c r="A1" s="11" t="s">
        <v>190</v>
      </c>
    </row>
    <row r="2" spans="1:6" x14ac:dyDescent="0.3">
      <c r="B2" t="s">
        <v>186</v>
      </c>
      <c r="C2" s="12">
        <v>5</v>
      </c>
      <c r="D2" s="6" t="s">
        <v>1</v>
      </c>
    </row>
    <row r="3" spans="1:6" x14ac:dyDescent="0.3">
      <c r="B3" t="s">
        <v>6</v>
      </c>
      <c r="C3" s="12">
        <v>150</v>
      </c>
      <c r="D3" s="6" t="s">
        <v>5</v>
      </c>
    </row>
    <row r="4" spans="1:6" x14ac:dyDescent="0.3">
      <c r="B4" t="s">
        <v>7</v>
      </c>
      <c r="C4" s="12">
        <v>115</v>
      </c>
      <c r="D4" s="6" t="s">
        <v>4</v>
      </c>
    </row>
    <row r="5" spans="1:6" x14ac:dyDescent="0.3">
      <c r="B5" t="s">
        <v>8</v>
      </c>
      <c r="C5" s="13">
        <v>0.7</v>
      </c>
      <c r="D5" s="6"/>
    </row>
    <row r="6" spans="1:6" x14ac:dyDescent="0.3">
      <c r="B6" t="s">
        <v>9</v>
      </c>
      <c r="C6" s="14">
        <f>C2/C4*1000</f>
        <v>43.478260869565219</v>
      </c>
      <c r="D6" s="6" t="s">
        <v>10</v>
      </c>
    </row>
    <row r="7" spans="1:6" x14ac:dyDescent="0.3">
      <c r="B7" t="s">
        <v>11</v>
      </c>
      <c r="C7" s="8">
        <f>C2/C3*1000*1000</f>
        <v>33333.333333333336</v>
      </c>
      <c r="D7" s="6" t="s">
        <v>12</v>
      </c>
    </row>
    <row r="8" spans="1:6" x14ac:dyDescent="0.3">
      <c r="B8" t="s">
        <v>13</v>
      </c>
      <c r="C8" s="8">
        <f>C7/C9/C10</f>
        <v>51.087295492903536</v>
      </c>
      <c r="D8" s="6" t="s">
        <v>14</v>
      </c>
      <c r="E8" s="7">
        <f>C8/2.54/12</f>
        <v>1.6760923718144205</v>
      </c>
      <c r="F8" t="s">
        <v>15</v>
      </c>
    </row>
    <row r="9" spans="1:6" x14ac:dyDescent="0.3">
      <c r="B9" t="s">
        <v>16</v>
      </c>
      <c r="C9" s="8">
        <f>C10</f>
        <v>25.543647746451771</v>
      </c>
      <c r="D9" s="6" t="s">
        <v>14</v>
      </c>
      <c r="E9" s="7">
        <f>C9/2.54/12</f>
        <v>0.83804618590721036</v>
      </c>
      <c r="F9" t="s">
        <v>15</v>
      </c>
    </row>
    <row r="10" spans="1:6" x14ac:dyDescent="0.3">
      <c r="B10" t="s">
        <v>17</v>
      </c>
      <c r="C10" s="8">
        <f>(C7/2)^(1/3)</f>
        <v>25.543647746451771</v>
      </c>
      <c r="D10" s="6" t="s">
        <v>14</v>
      </c>
      <c r="E10" s="7">
        <f>C10/2.54/12</f>
        <v>0.83804618590721036</v>
      </c>
      <c r="F10" t="s">
        <v>15</v>
      </c>
    </row>
    <row r="11" spans="1:6" x14ac:dyDescent="0.3">
      <c r="B11" t="s">
        <v>18</v>
      </c>
      <c r="C11" s="8">
        <f>C9*C8</f>
        <v>1304.9558803896211</v>
      </c>
      <c r="D11" s="6" t="s">
        <v>19</v>
      </c>
      <c r="E11" s="7">
        <f>C11/2.54/2.54/144</f>
        <v>1.4046428194272449</v>
      </c>
      <c r="F11" t="s">
        <v>20</v>
      </c>
    </row>
    <row r="12" spans="1:6" x14ac:dyDescent="0.3">
      <c r="B12" t="s">
        <v>21</v>
      </c>
      <c r="C12">
        <f>C5*C2</f>
        <v>3.5</v>
      </c>
      <c r="D12" t="s">
        <v>1</v>
      </c>
    </row>
    <row r="13" spans="1:6" x14ac:dyDescent="0.3">
      <c r="B13" t="s">
        <v>22</v>
      </c>
      <c r="C13">
        <f>CEILING(C2/0.074,1)</f>
        <v>68</v>
      </c>
    </row>
    <row r="14" spans="1:6" x14ac:dyDescent="0.3">
      <c r="B14" t="s">
        <v>184</v>
      </c>
      <c r="C14" s="81">
        <v>1.0000000000000001E-5</v>
      </c>
    </row>
    <row r="15" spans="1:6" x14ac:dyDescent="0.3">
      <c r="B15" s="27" t="s">
        <v>169</v>
      </c>
      <c r="C15" s="82">
        <v>44</v>
      </c>
    </row>
    <row r="17" spans="1:9" s="5" customFormat="1" ht="18" x14ac:dyDescent="0.35">
      <c r="A17" s="11" t="s">
        <v>23</v>
      </c>
    </row>
    <row r="18" spans="1:9" x14ac:dyDescent="0.3">
      <c r="B18" s="9" t="s">
        <v>24</v>
      </c>
      <c r="C18" s="15">
        <v>1000000</v>
      </c>
      <c r="D18" t="s">
        <v>25</v>
      </c>
      <c r="F18" s="1"/>
    </row>
    <row r="19" spans="1:9" x14ac:dyDescent="0.3">
      <c r="B19" s="6" t="s">
        <v>26</v>
      </c>
      <c r="C19">
        <f>FLOOR(C18/C2,1)</f>
        <v>200000</v>
      </c>
    </row>
    <row r="20" spans="1:9" x14ac:dyDescent="0.3">
      <c r="B20" s="6" t="s">
        <v>27</v>
      </c>
      <c r="C20">
        <f>FLOOR(C19/365,1)</f>
        <v>547</v>
      </c>
    </row>
    <row r="22" spans="1:9" s="5" customFormat="1" ht="18" x14ac:dyDescent="0.35">
      <c r="A22" s="11" t="s">
        <v>28</v>
      </c>
      <c r="C22" s="69">
        <v>2</v>
      </c>
      <c r="E22" s="5">
        <v>1</v>
      </c>
      <c r="F22" s="5">
        <v>2</v>
      </c>
      <c r="G22" s="5">
        <v>3</v>
      </c>
    </row>
    <row r="23" spans="1:9" x14ac:dyDescent="0.3">
      <c r="B23" s="6" t="s">
        <v>29</v>
      </c>
      <c r="C23" s="64" t="str">
        <f>LOOKUP(C$22,E$22:G$22,E23:G23)</f>
        <v>Regional</v>
      </c>
      <c r="E23" s="70" t="s">
        <v>179</v>
      </c>
      <c r="F23" s="70" t="s">
        <v>30</v>
      </c>
      <c r="G23" s="70" t="s">
        <v>180</v>
      </c>
    </row>
    <row r="24" spans="1:9" x14ac:dyDescent="0.3">
      <c r="B24" s="6" t="s">
        <v>31</v>
      </c>
      <c r="C24" s="64">
        <f t="shared" ref="C24:C30" si="0">LOOKUP(C$22,E$22:G$22,E24:G24)</f>
        <v>320</v>
      </c>
      <c r="D24" t="s">
        <v>32</v>
      </c>
      <c r="E24" s="70">
        <v>30</v>
      </c>
      <c r="F24" s="70">
        <v>320</v>
      </c>
      <c r="G24" s="70">
        <v>2400</v>
      </c>
    </row>
    <row r="25" spans="1:9" x14ac:dyDescent="0.3">
      <c r="B25" s="6" t="s">
        <v>33</v>
      </c>
      <c r="C25" s="64">
        <f t="shared" si="0"/>
        <v>8</v>
      </c>
      <c r="D25" t="s">
        <v>3</v>
      </c>
      <c r="E25" s="70">
        <v>2</v>
      </c>
      <c r="F25" s="70">
        <v>8</v>
      </c>
      <c r="G25" s="70">
        <v>44</v>
      </c>
    </row>
    <row r="26" spans="1:9" x14ac:dyDescent="0.3">
      <c r="B26" s="6" t="s">
        <v>34</v>
      </c>
      <c r="C26" s="64" t="str">
        <f t="shared" si="0"/>
        <v>Class 8 with 48' trailer</v>
      </c>
      <c r="E26" s="70" t="s">
        <v>183</v>
      </c>
      <c r="F26" s="70" t="s">
        <v>182</v>
      </c>
      <c r="G26" s="70" t="s">
        <v>182</v>
      </c>
    </row>
    <row r="27" spans="1:9" x14ac:dyDescent="0.3">
      <c r="B27" s="6" t="s">
        <v>35</v>
      </c>
      <c r="C27" s="64">
        <f t="shared" si="0"/>
        <v>141000</v>
      </c>
      <c r="D27" t="s">
        <v>2</v>
      </c>
      <c r="E27" s="70">
        <v>62000</v>
      </c>
      <c r="F27" s="70">
        <v>141000</v>
      </c>
      <c r="G27" s="70">
        <f>F27</f>
        <v>141000</v>
      </c>
    </row>
    <row r="28" spans="1:9" x14ac:dyDescent="0.3">
      <c r="B28" s="6" t="s">
        <v>36</v>
      </c>
      <c r="C28" s="64">
        <f t="shared" si="0"/>
        <v>0.5</v>
      </c>
      <c r="D28" t="s">
        <v>37</v>
      </c>
      <c r="E28" s="71">
        <f>4/10</f>
        <v>0.4</v>
      </c>
      <c r="F28" s="71">
        <f>4/8</f>
        <v>0.5</v>
      </c>
      <c r="G28" s="71">
        <v>0.5</v>
      </c>
    </row>
    <row r="29" spans="1:9" x14ac:dyDescent="0.3">
      <c r="B29" s="6" t="s">
        <v>38</v>
      </c>
      <c r="C29" s="64">
        <f t="shared" si="0"/>
        <v>108733440</v>
      </c>
      <c r="D29" t="s">
        <v>12</v>
      </c>
      <c r="E29" s="71">
        <f>10*10*24*28316</f>
        <v>67958400</v>
      </c>
      <c r="F29" s="71">
        <f>0.8*10*48*10*28316</f>
        <v>108733440</v>
      </c>
      <c r="G29" s="71">
        <f>F29</f>
        <v>108733440</v>
      </c>
      <c r="I29" s="4"/>
    </row>
    <row r="30" spans="1:9" x14ac:dyDescent="0.3">
      <c r="B30" s="6" t="s">
        <v>39</v>
      </c>
      <c r="C30" s="64">
        <f t="shared" si="0"/>
        <v>22727.272727272724</v>
      </c>
      <c r="D30" t="s">
        <v>10</v>
      </c>
      <c r="E30" s="71">
        <f>6500/2.2</f>
        <v>2954.5454545454545</v>
      </c>
      <c r="F30" s="71">
        <f>50000/2.2</f>
        <v>22727.272727272724</v>
      </c>
      <c r="G30" s="71">
        <f>50000/2.2</f>
        <v>22727.272727272724</v>
      </c>
      <c r="I30" s="4"/>
    </row>
    <row r="31" spans="1:9" x14ac:dyDescent="0.3">
      <c r="B31" s="6" t="s">
        <v>40</v>
      </c>
      <c r="C31">
        <f>FLOOR(MIN(C30/C6,C29/C7),1)</f>
        <v>522</v>
      </c>
      <c r="I31" s="4"/>
    </row>
    <row r="32" spans="1:9" x14ac:dyDescent="0.3">
      <c r="B32" s="6" t="s">
        <v>41</v>
      </c>
      <c r="C32">
        <f>CEILING(C19/C31,1)</f>
        <v>384</v>
      </c>
    </row>
    <row r="33" spans="1:9" x14ac:dyDescent="0.3">
      <c r="B33" s="6" t="s">
        <v>42</v>
      </c>
      <c r="C33">
        <f>C32*C25</f>
        <v>3072</v>
      </c>
      <c r="D33" t="s">
        <v>3</v>
      </c>
      <c r="E33" s="9"/>
      <c r="F33" s="9"/>
    </row>
    <row r="34" spans="1:9" x14ac:dyDescent="0.3">
      <c r="B34" s="6" t="s">
        <v>43</v>
      </c>
      <c r="C34">
        <f>CEILING(C33/(252*8),1)</f>
        <v>2</v>
      </c>
      <c r="E34" s="9"/>
      <c r="F34" s="9"/>
    </row>
    <row r="35" spans="1:9" x14ac:dyDescent="0.3">
      <c r="B35" s="6" t="s">
        <v>44</v>
      </c>
      <c r="C35">
        <f>C24*C32</f>
        <v>122880</v>
      </c>
      <c r="D35" t="s">
        <v>32</v>
      </c>
      <c r="E35" s="9"/>
      <c r="F35" s="9"/>
    </row>
    <row r="36" spans="1:9" x14ac:dyDescent="0.3">
      <c r="B36" s="6" t="s">
        <v>45</v>
      </c>
      <c r="C36">
        <f>CEILING(C34*C31*C2/10,1)</f>
        <v>522</v>
      </c>
      <c r="E36" s="9"/>
      <c r="F36" s="9"/>
    </row>
    <row r="37" spans="1:9" x14ac:dyDescent="0.3">
      <c r="B37" s="6" t="s">
        <v>46</v>
      </c>
      <c r="C37" s="71">
        <v>500</v>
      </c>
      <c r="D37" t="s">
        <v>2</v>
      </c>
      <c r="E37" s="9"/>
      <c r="F37" s="9"/>
    </row>
    <row r="38" spans="1:9" x14ac:dyDescent="0.3">
      <c r="B38" s="9"/>
      <c r="C38" s="9"/>
      <c r="D38" s="9"/>
      <c r="E38" s="9"/>
      <c r="F38" s="9"/>
    </row>
    <row r="39" spans="1:9" s="5" customFormat="1" ht="18" x14ac:dyDescent="0.35">
      <c r="A39" s="11" t="s">
        <v>47</v>
      </c>
    </row>
    <row r="40" spans="1:9" ht="15" customHeight="1" x14ac:dyDescent="0.3">
      <c r="B40" s="16" t="s">
        <v>48</v>
      </c>
      <c r="C40" s="17">
        <v>60</v>
      </c>
      <c r="D40" s="9" t="s">
        <v>49</v>
      </c>
      <c r="E40" s="16"/>
      <c r="G40" s="16"/>
    </row>
    <row r="41" spans="1:9" ht="15" customHeight="1" x14ac:dyDescent="0.3">
      <c r="B41" s="16" t="s">
        <v>50</v>
      </c>
      <c r="C41" s="17">
        <v>10</v>
      </c>
      <c r="D41" s="9" t="s">
        <v>49</v>
      </c>
      <c r="E41" s="16"/>
      <c r="G41" s="16"/>
    </row>
    <row r="42" spans="1:9" ht="15" customHeight="1" x14ac:dyDescent="0.3">
      <c r="B42" s="6" t="s">
        <v>51</v>
      </c>
      <c r="C42" s="17">
        <v>75</v>
      </c>
      <c r="D42" t="s">
        <v>49</v>
      </c>
    </row>
    <row r="43" spans="1:9" ht="15" customHeight="1" x14ac:dyDescent="0.3">
      <c r="B43" s="6" t="s">
        <v>52</v>
      </c>
      <c r="C43" s="17">
        <v>45</v>
      </c>
      <c r="D43" t="s">
        <v>49</v>
      </c>
      <c r="E43" s="65"/>
      <c r="F43" s="65"/>
      <c r="G43" s="65"/>
      <c r="H43" s="65"/>
      <c r="I43" s="65"/>
    </row>
    <row r="44" spans="1:9" ht="15" customHeight="1" x14ac:dyDescent="0.3">
      <c r="B44" s="6" t="s">
        <v>53</v>
      </c>
      <c r="C44" s="17">
        <v>1</v>
      </c>
    </row>
    <row r="45" spans="1:9" ht="15" customHeight="1" x14ac:dyDescent="0.3">
      <c r="B45" s="6" t="s">
        <v>54</v>
      </c>
      <c r="C45" s="68">
        <f>C43/60*C44*C12/0.85*C19</f>
        <v>617647.0588235294</v>
      </c>
      <c r="D45" t="s">
        <v>1</v>
      </c>
    </row>
    <row r="46" spans="1:9" ht="15" customHeight="1" x14ac:dyDescent="0.3">
      <c r="B46" s="16" t="s">
        <v>55</v>
      </c>
      <c r="C46" s="17">
        <v>5</v>
      </c>
      <c r="D46" s="9" t="s">
        <v>49</v>
      </c>
      <c r="E46" s="16"/>
      <c r="G46" s="16"/>
    </row>
    <row r="47" spans="1:9" ht="15" customHeight="1" x14ac:dyDescent="0.3">
      <c r="B47" s="16" t="s">
        <v>56</v>
      </c>
      <c r="C47" s="17">
        <v>45</v>
      </c>
      <c r="D47" s="9" t="s">
        <v>49</v>
      </c>
      <c r="E47" s="16"/>
      <c r="G47" s="16"/>
    </row>
    <row r="48" spans="1:9" ht="15" customHeight="1" x14ac:dyDescent="0.3">
      <c r="B48" s="16" t="s">
        <v>57</v>
      </c>
      <c r="C48" s="16">
        <f>C40+C41+C46+C47</f>
        <v>120</v>
      </c>
      <c r="D48" s="9" t="s">
        <v>49</v>
      </c>
      <c r="E48" s="66"/>
      <c r="F48" s="67"/>
      <c r="G48" s="67"/>
      <c r="H48" s="67"/>
      <c r="I48" s="67"/>
    </row>
    <row r="49" spans="1:5" ht="15" customHeight="1" x14ac:dyDescent="0.3">
      <c r="B49" s="16" t="s">
        <v>58</v>
      </c>
      <c r="C49" s="18">
        <f>252*8/(C48/60)</f>
        <v>1008</v>
      </c>
      <c r="D49" s="9"/>
      <c r="E49" s="16"/>
    </row>
    <row r="50" spans="1:5" ht="15" customHeight="1" x14ac:dyDescent="0.3">
      <c r="B50" s="16" t="s">
        <v>59</v>
      </c>
      <c r="C50" s="18">
        <f>CEILING(C20/C89,1)</f>
        <v>79</v>
      </c>
      <c r="D50" s="9"/>
      <c r="E50" s="16"/>
    </row>
    <row r="51" spans="1:5" ht="15" customHeight="1" x14ac:dyDescent="0.3">
      <c r="B51" s="16" t="s">
        <v>60</v>
      </c>
      <c r="C51" s="72">
        <v>15</v>
      </c>
      <c r="D51" s="6" t="s">
        <v>49</v>
      </c>
      <c r="E51" s="16"/>
    </row>
    <row r="52" spans="1:5" ht="15" customHeight="1" x14ac:dyDescent="0.3">
      <c r="B52" s="16" t="s">
        <v>61</v>
      </c>
      <c r="C52" s="18">
        <f>C51*C50*2/60</f>
        <v>39.5</v>
      </c>
      <c r="D52" s="6" t="s">
        <v>62</v>
      </c>
      <c r="E52" s="16"/>
    </row>
    <row r="53" spans="1:5" ht="15" customHeight="1" x14ac:dyDescent="0.3">
      <c r="D53" s="9"/>
      <c r="E53" s="16"/>
    </row>
    <row r="54" spans="1:5" s="5" customFormat="1" ht="18.75" customHeight="1" x14ac:dyDescent="0.35">
      <c r="A54" s="11" t="s">
        <v>63</v>
      </c>
    </row>
    <row r="55" spans="1:5" ht="15" customHeight="1" x14ac:dyDescent="0.3">
      <c r="B55" s="16" t="s">
        <v>64</v>
      </c>
      <c r="C55" s="16">
        <f>MAX(1,CEILING(C19/C49,1))</f>
        <v>199</v>
      </c>
      <c r="D55" s="9"/>
      <c r="E55" s="16"/>
    </row>
    <row r="56" spans="1:5" ht="15" customHeight="1" x14ac:dyDescent="0.3">
      <c r="B56" s="16" t="s">
        <v>65</v>
      </c>
      <c r="C56" s="19">
        <f>MAX(1,CEILING((C52*365)/(8*252),1))</f>
        <v>8</v>
      </c>
      <c r="D56" s="9"/>
      <c r="E56" s="16"/>
    </row>
    <row r="57" spans="1:5" ht="15" customHeight="1" x14ac:dyDescent="0.3">
      <c r="B57" s="16" t="s">
        <v>66</v>
      </c>
      <c r="C57" s="16">
        <f>C34</f>
        <v>2</v>
      </c>
      <c r="D57" s="9"/>
      <c r="E57" s="16"/>
    </row>
    <row r="58" spans="1:5" ht="15" customHeight="1" x14ac:dyDescent="0.3">
      <c r="B58" s="16" t="s">
        <v>67</v>
      </c>
      <c r="C58" s="16">
        <f>MAX(1,CEILING(SUM(C55:C57)/10,1))</f>
        <v>21</v>
      </c>
      <c r="D58" s="9"/>
      <c r="E58" s="16"/>
    </row>
    <row r="59" spans="1:5" ht="15" customHeight="1" x14ac:dyDescent="0.3">
      <c r="B59" s="16" t="s">
        <v>68</v>
      </c>
      <c r="C59" s="16">
        <f>MAX(1,CEILING(C18/100000,1))</f>
        <v>10</v>
      </c>
      <c r="D59" s="9"/>
      <c r="E59" s="16"/>
    </row>
    <row r="60" spans="1:5" ht="15" customHeight="1" x14ac:dyDescent="0.3">
      <c r="B60" s="16" t="s">
        <v>69</v>
      </c>
      <c r="C60" s="16">
        <f>MAX(1,CEILING(C18/100000,1))</f>
        <v>10</v>
      </c>
      <c r="D60" s="9"/>
      <c r="E60" s="16"/>
    </row>
    <row r="61" spans="1:5" ht="15" customHeight="1" x14ac:dyDescent="0.3">
      <c r="B61" s="16" t="s">
        <v>70</v>
      </c>
      <c r="C61" s="16">
        <f>IF(SUM(C55:C60)&gt;20,1,0)</f>
        <v>1</v>
      </c>
      <c r="D61" s="9"/>
      <c r="E61" s="16"/>
    </row>
    <row r="62" spans="1:5" ht="15" customHeight="1" x14ac:dyDescent="0.3">
      <c r="B62" s="16" t="s">
        <v>71</v>
      </c>
      <c r="C62" s="17">
        <v>1</v>
      </c>
      <c r="D62" s="9"/>
      <c r="E62" s="16"/>
    </row>
    <row r="63" spans="1:5" ht="15" customHeight="1" x14ac:dyDescent="0.3">
      <c r="B63" s="16" t="s">
        <v>72</v>
      </c>
      <c r="C63" s="16">
        <f>MAX(1,CEILING(SUM(C55:C62)/30,1))</f>
        <v>9</v>
      </c>
      <c r="D63" s="9"/>
      <c r="E63" s="16"/>
    </row>
    <row r="64" spans="1:5" ht="15" customHeight="1" x14ac:dyDescent="0.3">
      <c r="B64" s="16" t="s">
        <v>73</v>
      </c>
      <c r="C64" s="16">
        <f>FLOOR(SUM(C55:C62)/30,1)</f>
        <v>8</v>
      </c>
      <c r="D64" s="9"/>
      <c r="E64" s="16"/>
    </row>
    <row r="65" spans="1:9" ht="15" customHeight="1" x14ac:dyDescent="0.3">
      <c r="B65" s="19" t="s">
        <v>194</v>
      </c>
      <c r="C65" s="71">
        <v>0</v>
      </c>
      <c r="D65" s="9"/>
      <c r="E65" s="16"/>
    </row>
    <row r="66" spans="1:9" ht="15" customHeight="1" x14ac:dyDescent="0.3">
      <c r="B66" s="19" t="s">
        <v>195</v>
      </c>
      <c r="C66" s="71">
        <v>0</v>
      </c>
      <c r="D66" s="9"/>
      <c r="E66" s="16"/>
    </row>
    <row r="67" spans="1:9" ht="15" customHeight="1" x14ac:dyDescent="0.3">
      <c r="B67" s="19" t="s">
        <v>74</v>
      </c>
      <c r="C67">
        <f>CEILING((C59+C62+C63+C64)+0.23*(C60+C61+C55+C56+C58),1)</f>
        <v>83</v>
      </c>
      <c r="D67" s="9"/>
      <c r="E67" s="16"/>
    </row>
    <row r="68" spans="1:9" ht="15" customHeight="1" x14ac:dyDescent="0.3"/>
    <row r="69" spans="1:9" s="5" customFormat="1" ht="18.75" customHeight="1" x14ac:dyDescent="0.35">
      <c r="A69" s="11" t="s">
        <v>75</v>
      </c>
      <c r="H69" s="20">
        <f>C108+C97+C82</f>
        <v>15019.034120734908</v>
      </c>
      <c r="I69" s="21" t="s">
        <v>20</v>
      </c>
    </row>
    <row r="70" spans="1:9" s="9" customFormat="1" ht="15.75" customHeight="1" x14ac:dyDescent="0.3">
      <c r="A70" s="22" t="s">
        <v>76</v>
      </c>
      <c r="B70" s="23" t="s">
        <v>77</v>
      </c>
      <c r="C70" s="71">
        <v>3</v>
      </c>
      <c r="D70" s="2" t="s">
        <v>15</v>
      </c>
    </row>
    <row r="71" spans="1:9" s="9" customFormat="1" ht="15.75" customHeight="1" x14ac:dyDescent="0.3">
      <c r="A71" s="24"/>
      <c r="B71" s="23" t="s">
        <v>78</v>
      </c>
      <c r="C71" s="25">
        <f>2500/25.4/12</f>
        <v>8.2020997375328086</v>
      </c>
      <c r="D71" s="2" t="s">
        <v>15</v>
      </c>
    </row>
    <row r="72" spans="1:9" s="9" customFormat="1" ht="15.75" customHeight="1" x14ac:dyDescent="0.3">
      <c r="A72" s="24"/>
      <c r="B72" s="23" t="s">
        <v>79</v>
      </c>
      <c r="C72" s="73">
        <v>5</v>
      </c>
      <c r="D72" s="2" t="s">
        <v>15</v>
      </c>
    </row>
    <row r="73" spans="1:9" s="9" customFormat="1" ht="15.75" customHeight="1" x14ac:dyDescent="0.3">
      <c r="A73" s="26"/>
      <c r="B73" s="23" t="s">
        <v>80</v>
      </c>
      <c r="C73" s="23">
        <f>CEILING(C20*C40/60/24,1)</f>
        <v>23</v>
      </c>
      <c r="D73" s="23" t="s">
        <v>81</v>
      </c>
    </row>
    <row r="74" spans="1:9" s="9" customFormat="1" ht="15.75" customHeight="1" x14ac:dyDescent="0.3">
      <c r="A74" s="22"/>
      <c r="B74" s="23" t="s">
        <v>82</v>
      </c>
      <c r="C74" s="23">
        <f>CEILING(C20*SUM(C41,C42,C46)/60/24,1)</f>
        <v>35</v>
      </c>
      <c r="D74" s="2" t="s">
        <v>81</v>
      </c>
    </row>
    <row r="75" spans="1:9" s="9" customFormat="1" ht="15.75" customHeight="1" x14ac:dyDescent="0.3">
      <c r="A75" s="22"/>
      <c r="B75" s="23" t="s">
        <v>83</v>
      </c>
      <c r="C75" s="23">
        <f>CEILING(C20*C47/60/24,1)</f>
        <v>18</v>
      </c>
      <c r="D75" s="23" t="s">
        <v>81</v>
      </c>
    </row>
    <row r="76" spans="1:9" s="9" customFormat="1" ht="15.75" customHeight="1" x14ac:dyDescent="0.3">
      <c r="A76" s="22"/>
      <c r="B76" s="6" t="s">
        <v>84</v>
      </c>
      <c r="C76" s="14">
        <f>MAX(2,E9+1)</f>
        <v>2</v>
      </c>
      <c r="D76" s="6" t="s">
        <v>15</v>
      </c>
    </row>
    <row r="77" spans="1:9" s="9" customFormat="1" ht="15.75" customHeight="1" x14ac:dyDescent="0.3">
      <c r="A77" s="22"/>
      <c r="B77" s="6" t="s">
        <v>85</v>
      </c>
      <c r="C77" s="14">
        <f>MAX(C70,E8+1)</f>
        <v>3</v>
      </c>
      <c r="D77" s="6" t="s">
        <v>15</v>
      </c>
    </row>
    <row r="78" spans="1:9" s="9" customFormat="1" ht="15.75" customHeight="1" x14ac:dyDescent="0.3">
      <c r="A78" s="22"/>
      <c r="B78" s="6" t="s">
        <v>86</v>
      </c>
      <c r="C78" s="14">
        <f>C77*C76</f>
        <v>6</v>
      </c>
      <c r="D78" s="6" t="s">
        <v>20</v>
      </c>
    </row>
    <row r="79" spans="1:9" s="9" customFormat="1" ht="15.75" customHeight="1" x14ac:dyDescent="0.3">
      <c r="A79" s="26"/>
      <c r="B79" s="6" t="s">
        <v>87</v>
      </c>
      <c r="C79" s="14">
        <f>C77</f>
        <v>3</v>
      </c>
      <c r="D79" s="6" t="s">
        <v>15</v>
      </c>
    </row>
    <row r="80" spans="1:9" s="9" customFormat="1" ht="15.75" customHeight="1" x14ac:dyDescent="0.3">
      <c r="A80" s="22"/>
      <c r="B80" s="6" t="s">
        <v>88</v>
      </c>
      <c r="C80" s="6">
        <f>CEILING((C73+C74+C75)/2,1)*(C76+C70)</f>
        <v>190</v>
      </c>
      <c r="D80" s="6" t="s">
        <v>15</v>
      </c>
    </row>
    <row r="81" spans="1:4" s="9" customFormat="1" ht="15.75" customHeight="1" x14ac:dyDescent="0.3">
      <c r="A81" s="22"/>
      <c r="B81" s="27" t="s">
        <v>89</v>
      </c>
      <c r="C81" s="14">
        <f>C79+2*C77+2*C72+C71</f>
        <v>27.202099737532809</v>
      </c>
      <c r="D81" s="6" t="s">
        <v>15</v>
      </c>
    </row>
    <row r="82" spans="1:4" s="9" customFormat="1" ht="15.75" customHeight="1" x14ac:dyDescent="0.3">
      <c r="A82" s="22"/>
      <c r="B82" s="27" t="s">
        <v>90</v>
      </c>
      <c r="C82" s="14">
        <f>C81*C80</f>
        <v>5168.3989501312335</v>
      </c>
      <c r="D82" s="6" t="s">
        <v>20</v>
      </c>
    </row>
    <row r="83" spans="1:4" s="9" customFormat="1" ht="15.75" customHeight="1" x14ac:dyDescent="0.3">
      <c r="A83" s="22" t="s">
        <v>91</v>
      </c>
      <c r="B83" s="23" t="s">
        <v>92</v>
      </c>
      <c r="C83" s="28">
        <f>C71*3*2</f>
        <v>49.212598425196852</v>
      </c>
      <c r="D83" s="23" t="s">
        <v>15</v>
      </c>
    </row>
    <row r="84" spans="1:4" s="9" customFormat="1" ht="15.75" customHeight="1" x14ac:dyDescent="0.3">
      <c r="A84" s="22"/>
      <c r="B84" s="27" t="s">
        <v>93</v>
      </c>
      <c r="C84" s="27">
        <f>C20</f>
        <v>547</v>
      </c>
      <c r="D84" s="27"/>
    </row>
    <row r="85" spans="1:4" s="9" customFormat="1" ht="15.75" customHeight="1" x14ac:dyDescent="0.3">
      <c r="A85" s="22"/>
      <c r="B85" s="23" t="s">
        <v>94</v>
      </c>
      <c r="C85" s="74">
        <v>10</v>
      </c>
      <c r="D85" s="23" t="s">
        <v>15</v>
      </c>
    </row>
    <row r="86" spans="1:4" s="9" customFormat="1" ht="15.75" customHeight="1" x14ac:dyDescent="0.3">
      <c r="A86" s="22"/>
      <c r="B86" s="23" t="s">
        <v>95</v>
      </c>
      <c r="C86" s="28">
        <f>40/12</f>
        <v>3.3333333333333335</v>
      </c>
      <c r="D86" s="23" t="s">
        <v>15</v>
      </c>
    </row>
    <row r="87" spans="1:4" s="9" customFormat="1" ht="15.75" customHeight="1" x14ac:dyDescent="0.3">
      <c r="A87" s="22"/>
      <c r="B87" s="23" t="s">
        <v>96</v>
      </c>
      <c r="C87" s="74">
        <v>4</v>
      </c>
      <c r="D87" s="23" t="s">
        <v>15</v>
      </c>
    </row>
    <row r="88" spans="1:4" s="9" customFormat="1" ht="15.75" customHeight="1" x14ac:dyDescent="0.3">
      <c r="A88" s="22"/>
      <c r="B88" s="23" t="s">
        <v>97</v>
      </c>
      <c r="C88" s="74">
        <v>0.5</v>
      </c>
      <c r="D88" s="23" t="s">
        <v>15</v>
      </c>
    </row>
    <row r="89" spans="1:4" s="9" customFormat="1" ht="15.75" customHeight="1" x14ac:dyDescent="0.3">
      <c r="A89" s="22"/>
      <c r="B89" s="23" t="s">
        <v>98</v>
      </c>
      <c r="C89" s="23">
        <f>FLOOR(C86*C87/(1.2*E11),1)</f>
        <v>7</v>
      </c>
      <c r="D89" s="23"/>
    </row>
    <row r="90" spans="1:4" s="9" customFormat="1" ht="15.75" customHeight="1" x14ac:dyDescent="0.3">
      <c r="A90" s="22"/>
      <c r="B90" s="23" t="s">
        <v>99</v>
      </c>
      <c r="C90" s="28">
        <f>FLOOR(C85/(C88+E10+0.5),1)</f>
        <v>5</v>
      </c>
      <c r="D90" s="23"/>
    </row>
    <row r="91" spans="1:4" s="9" customFormat="1" ht="15.75" customHeight="1" x14ac:dyDescent="0.3">
      <c r="A91" s="22"/>
      <c r="B91" s="23" t="s">
        <v>100</v>
      </c>
      <c r="C91" s="28">
        <f>C90*C89</f>
        <v>35</v>
      </c>
      <c r="D91" s="23"/>
    </row>
    <row r="92" spans="1:4" s="9" customFormat="1" ht="15.75" customHeight="1" x14ac:dyDescent="0.3">
      <c r="A92" s="22"/>
      <c r="B92" s="23" t="s">
        <v>101</v>
      </c>
      <c r="C92" s="28">
        <f xml:space="preserve"> FLOOR((C81-C71-C72-C72)/(C86+1),1)</f>
        <v>2</v>
      </c>
      <c r="D92" s="23"/>
    </row>
    <row r="93" spans="1:4" s="9" customFormat="1" ht="15.75" customHeight="1" x14ac:dyDescent="0.3">
      <c r="A93" s="22"/>
      <c r="B93" s="23" t="s">
        <v>102</v>
      </c>
      <c r="C93" s="23">
        <f>CEILING(C84/C91,1)</f>
        <v>16</v>
      </c>
      <c r="D93" s="23"/>
    </row>
    <row r="94" spans="1:4" s="9" customFormat="1" ht="15.75" customHeight="1" x14ac:dyDescent="0.3">
      <c r="A94" s="22"/>
      <c r="B94" s="27" t="s">
        <v>103</v>
      </c>
      <c r="C94" s="27">
        <f>CEILING(C93/C92,1)</f>
        <v>8</v>
      </c>
      <c r="D94" s="23"/>
    </row>
    <row r="95" spans="1:4" s="9" customFormat="1" ht="15.75" customHeight="1" x14ac:dyDescent="0.3">
      <c r="A95" s="22"/>
      <c r="B95" s="27" t="s">
        <v>104</v>
      </c>
      <c r="C95" s="27">
        <f>C93*2</f>
        <v>32</v>
      </c>
      <c r="D95" s="23"/>
    </row>
    <row r="96" spans="1:4" s="9" customFormat="1" ht="15.75" customHeight="1" x14ac:dyDescent="0.3">
      <c r="A96" s="22"/>
      <c r="B96" s="23" t="s">
        <v>105</v>
      </c>
      <c r="C96" s="23">
        <f>C94*2*(C87+3)</f>
        <v>112</v>
      </c>
      <c r="D96" s="23" t="s">
        <v>15</v>
      </c>
    </row>
    <row r="97" spans="1:11" s="9" customFormat="1" ht="15.75" customHeight="1" x14ac:dyDescent="0.3">
      <c r="A97" s="22"/>
      <c r="B97" s="27" t="s">
        <v>106</v>
      </c>
      <c r="C97" s="29">
        <f>C96*C81</f>
        <v>3046.6351706036744</v>
      </c>
      <c r="D97" s="23" t="s">
        <v>20</v>
      </c>
    </row>
    <row r="98" spans="1:11" s="9" customFormat="1" ht="15.75" customHeight="1" x14ac:dyDescent="0.3">
      <c r="A98" s="22" t="s">
        <v>107</v>
      </c>
      <c r="B98" s="23" t="s">
        <v>79</v>
      </c>
      <c r="C98" s="74">
        <v>5</v>
      </c>
      <c r="D98" s="23" t="s">
        <v>15</v>
      </c>
    </row>
    <row r="99" spans="1:11" s="9" customFormat="1" ht="15.75" customHeight="1" x14ac:dyDescent="0.3">
      <c r="A99" s="22"/>
      <c r="B99" s="27" t="s">
        <v>108</v>
      </c>
      <c r="C99" s="27">
        <f>C105+C103</f>
        <v>324</v>
      </c>
      <c r="D99" s="27" t="s">
        <v>15</v>
      </c>
    </row>
    <row r="100" spans="1:11" s="9" customFormat="1" ht="15.75" customHeight="1" x14ac:dyDescent="0.3">
      <c r="A100" s="22"/>
      <c r="B100" s="23" t="s">
        <v>109</v>
      </c>
      <c r="C100" s="74">
        <v>13</v>
      </c>
      <c r="D100" s="27" t="s">
        <v>15</v>
      </c>
    </row>
    <row r="101" spans="1:11" s="9" customFormat="1" ht="15.75" customHeight="1" x14ac:dyDescent="0.3">
      <c r="A101" s="22"/>
      <c r="B101" s="27" t="s">
        <v>110</v>
      </c>
      <c r="C101" s="27">
        <f>C59+C60+C61+C62+C63+C64</f>
        <v>39</v>
      </c>
      <c r="D101" s="23"/>
    </row>
    <row r="102" spans="1:11" s="9" customFormat="1" ht="15.75" customHeight="1" x14ac:dyDescent="0.3">
      <c r="A102" s="22"/>
      <c r="B102" s="27" t="s">
        <v>111</v>
      </c>
      <c r="C102" s="75">
        <v>8</v>
      </c>
      <c r="D102" s="23" t="s">
        <v>15</v>
      </c>
    </row>
    <row r="103" spans="1:11" s="9" customFormat="1" ht="15.75" customHeight="1" x14ac:dyDescent="0.3">
      <c r="A103" s="22"/>
      <c r="B103" s="27" t="s">
        <v>112</v>
      </c>
      <c r="C103" s="27">
        <f>C102*C101</f>
        <v>312</v>
      </c>
      <c r="D103" s="23" t="s">
        <v>15</v>
      </c>
    </row>
    <row r="104" spans="1:11" s="9" customFormat="1" ht="15.75" customHeight="1" x14ac:dyDescent="0.3">
      <c r="A104" s="22"/>
      <c r="B104" s="23" t="s">
        <v>113</v>
      </c>
      <c r="C104" s="23">
        <f>MAX(C100*6*2,0.5*C67)</f>
        <v>156</v>
      </c>
      <c r="D104" s="23" t="s">
        <v>20</v>
      </c>
    </row>
    <row r="105" spans="1:11" s="9" customFormat="1" ht="15.75" customHeight="1" x14ac:dyDescent="0.3">
      <c r="A105" s="22"/>
      <c r="B105" s="27" t="s">
        <v>114</v>
      </c>
      <c r="C105" s="27">
        <f>C104/C100</f>
        <v>12</v>
      </c>
      <c r="D105" s="23" t="s">
        <v>15</v>
      </c>
    </row>
    <row r="106" spans="1:11" s="9" customFormat="1" ht="15.75" customHeight="1" x14ac:dyDescent="0.3">
      <c r="A106" s="22"/>
      <c r="B106" s="23" t="s">
        <v>115</v>
      </c>
      <c r="C106" s="23">
        <f>C67*4</f>
        <v>332</v>
      </c>
      <c r="D106" s="23" t="s">
        <v>20</v>
      </c>
    </row>
    <row r="107" spans="1:11" s="9" customFormat="1" ht="15.75" customHeight="1" x14ac:dyDescent="0.3">
      <c r="A107" s="22"/>
      <c r="B107" s="23" t="s">
        <v>116</v>
      </c>
      <c r="C107" s="23">
        <f>64*C60</f>
        <v>640</v>
      </c>
      <c r="D107" s="23" t="s">
        <v>20</v>
      </c>
    </row>
    <row r="108" spans="1:11" s="9" customFormat="1" ht="15.75" customHeight="1" x14ac:dyDescent="0.3">
      <c r="A108" s="22"/>
      <c r="B108" s="23" t="s">
        <v>117</v>
      </c>
      <c r="C108" s="23">
        <f>C107+C106+C104+C103*C100+C98*C99</f>
        <v>6804</v>
      </c>
      <c r="D108" s="23" t="s">
        <v>20</v>
      </c>
    </row>
    <row r="109" spans="1:11" s="9" customFormat="1" ht="15" customHeight="1" x14ac:dyDescent="0.3"/>
    <row r="110" spans="1:11" s="5" customFormat="1" ht="18.75" customHeight="1" x14ac:dyDescent="0.35">
      <c r="A110" s="21" t="s">
        <v>118</v>
      </c>
      <c r="H110" s="30">
        <f>G112+G116+G124</f>
        <v>3094280.4399524145</v>
      </c>
    </row>
    <row r="111" spans="1:11" s="9" customFormat="1" ht="15" customHeight="1" x14ac:dyDescent="0.3">
      <c r="B111" s="31" t="s">
        <v>119</v>
      </c>
      <c r="C111" s="31" t="s">
        <v>120</v>
      </c>
      <c r="D111" s="31" t="s">
        <v>121</v>
      </c>
      <c r="E111" s="31" t="s">
        <v>122</v>
      </c>
      <c r="F111" s="31" t="s">
        <v>123</v>
      </c>
      <c r="G111" s="31" t="s">
        <v>124</v>
      </c>
      <c r="H111" s="32"/>
    </row>
    <row r="112" spans="1:11" s="9" customFormat="1" ht="15" customHeight="1" x14ac:dyDescent="0.3">
      <c r="B112" s="9" t="s">
        <v>125</v>
      </c>
      <c r="E112" s="33"/>
      <c r="F112" s="33"/>
      <c r="G112" s="33">
        <f>SUM(F113:F115)</f>
        <v>732600</v>
      </c>
      <c r="J112" s="9" t="str">
        <f>C118</f>
        <v>Upfront Battery Purchases</v>
      </c>
      <c r="K112" s="32">
        <f>F118</f>
        <v>1634980.4399524143</v>
      </c>
    </row>
    <row r="113" spans="1:11" s="9" customFormat="1" ht="15" customHeight="1" x14ac:dyDescent="0.3">
      <c r="B113" s="6"/>
      <c r="C113" s="9" t="s">
        <v>126</v>
      </c>
      <c r="D113" s="6">
        <f>C74</f>
        <v>35</v>
      </c>
      <c r="E113" s="76">
        <f>2*C2*2000</f>
        <v>20000</v>
      </c>
      <c r="F113" s="33">
        <f>E113*D114</f>
        <v>700000</v>
      </c>
      <c r="G113" s="34"/>
      <c r="J113" s="9" t="str">
        <f>C113</f>
        <v>Battery Test Channels</v>
      </c>
      <c r="K113" s="32">
        <f>F113</f>
        <v>700000</v>
      </c>
    </row>
    <row r="114" spans="1:11" s="9" customFormat="1" ht="15" customHeight="1" x14ac:dyDescent="0.3">
      <c r="C114" s="6" t="s">
        <v>127</v>
      </c>
      <c r="D114" s="6">
        <f>D113</f>
        <v>35</v>
      </c>
      <c r="E114" s="76">
        <v>160</v>
      </c>
      <c r="F114" s="33">
        <f>E114*D114</f>
        <v>5600</v>
      </c>
      <c r="G114" s="34"/>
      <c r="J114" s="9" t="str">
        <f>C121</f>
        <v>MD Truck</v>
      </c>
      <c r="K114" s="32">
        <f>F121</f>
        <v>282000</v>
      </c>
    </row>
    <row r="115" spans="1:11" s="9" customFormat="1" ht="15" customHeight="1" x14ac:dyDescent="0.3">
      <c r="C115" s="9" t="s">
        <v>128</v>
      </c>
      <c r="D115" s="6">
        <f>CEILING(D113/4,1)</f>
        <v>9</v>
      </c>
      <c r="E115" s="76">
        <v>3000</v>
      </c>
      <c r="F115" s="33">
        <f>E115*D115</f>
        <v>27000</v>
      </c>
      <c r="G115" s="34"/>
      <c r="J115" s="9" t="str">
        <f>C122</f>
        <v>Shipping Containers</v>
      </c>
      <c r="K115" s="32">
        <f>F122</f>
        <v>261000</v>
      </c>
    </row>
    <row r="116" spans="1:11" s="9" customFormat="1" ht="15" customHeight="1" x14ac:dyDescent="0.3">
      <c r="B116" s="9" t="s">
        <v>129</v>
      </c>
      <c r="E116" s="33"/>
      <c r="F116" s="33"/>
      <c r="G116" s="33">
        <f>SUM(F117:F123)</f>
        <v>2261680.4399524145</v>
      </c>
      <c r="J116" s="9" t="str">
        <f>C117</f>
        <v>Conveyors</v>
      </c>
      <c r="K116" s="32">
        <f>F117</f>
        <v>28500</v>
      </c>
    </row>
    <row r="117" spans="1:11" s="9" customFormat="1" ht="15" customHeight="1" x14ac:dyDescent="0.3">
      <c r="C117" s="9" t="s">
        <v>130</v>
      </c>
      <c r="D117" s="6">
        <f>C79*C80</f>
        <v>570</v>
      </c>
      <c r="E117" s="76">
        <v>50</v>
      </c>
      <c r="F117" s="33">
        <f t="shared" ref="F117:F123" si="1">E117*D117</f>
        <v>28500</v>
      </c>
      <c r="G117" s="33"/>
      <c r="J117" s="9" t="str">
        <f>C119</f>
        <v>Storage Racks</v>
      </c>
      <c r="K117" s="32">
        <f>F119</f>
        <v>3200</v>
      </c>
    </row>
    <row r="118" spans="1:11" s="9" customFormat="1" ht="15" customHeight="1" x14ac:dyDescent="0.3">
      <c r="B118" s="58"/>
      <c r="C118" s="63" t="s">
        <v>178</v>
      </c>
      <c r="D118" s="58">
        <f>C19/12</f>
        <v>16666.666666666668</v>
      </c>
      <c r="E118" s="59">
        <f>Batt_Buy_Cost</f>
        <v>98.098826397144848</v>
      </c>
      <c r="F118" s="60">
        <f>E118*D118</f>
        <v>1634980.4399524143</v>
      </c>
      <c r="G118" s="33"/>
      <c r="J118" s="9" t="str">
        <f>C115</f>
        <v>Computers</v>
      </c>
      <c r="K118" s="32">
        <f>F115</f>
        <v>27000</v>
      </c>
    </row>
    <row r="119" spans="1:11" s="9" customFormat="1" ht="15" customHeight="1" x14ac:dyDescent="0.3">
      <c r="C119" s="9" t="s">
        <v>131</v>
      </c>
      <c r="D119" s="6">
        <f>C95</f>
        <v>32</v>
      </c>
      <c r="E119" s="76">
        <v>100</v>
      </c>
      <c r="F119" s="33">
        <f t="shared" si="1"/>
        <v>3200</v>
      </c>
      <c r="G119" s="33"/>
      <c r="J119" s="9" t="str">
        <f>C120</f>
        <v>Forklift</v>
      </c>
      <c r="K119" s="32">
        <f>F120</f>
        <v>14000</v>
      </c>
    </row>
    <row r="120" spans="1:11" s="9" customFormat="1" ht="15" customHeight="1" x14ac:dyDescent="0.3">
      <c r="C120" s="9" t="s">
        <v>132</v>
      </c>
      <c r="D120" s="6">
        <f>MAX(1,CEILING((C52/24),1))</f>
        <v>2</v>
      </c>
      <c r="E120" s="76">
        <v>7000</v>
      </c>
      <c r="F120" s="33">
        <f t="shared" si="1"/>
        <v>14000</v>
      </c>
      <c r="G120" s="33"/>
      <c r="J120" s="9" t="str">
        <f>C123</f>
        <v>Work Stations</v>
      </c>
      <c r="K120" s="32">
        <f>F123</f>
        <v>38000</v>
      </c>
    </row>
    <row r="121" spans="1:11" s="9" customFormat="1" ht="15" customHeight="1" x14ac:dyDescent="0.3">
      <c r="C121" s="9" t="s">
        <v>133</v>
      </c>
      <c r="D121" s="9">
        <f>C34</f>
        <v>2</v>
      </c>
      <c r="E121" s="33">
        <f>C27</f>
        <v>141000</v>
      </c>
      <c r="F121" s="33">
        <f t="shared" si="1"/>
        <v>282000</v>
      </c>
      <c r="G121" s="33"/>
      <c r="J121" s="9" t="str">
        <f>C114</f>
        <v>CAN hardware</v>
      </c>
      <c r="K121" s="32">
        <f>F114</f>
        <v>5600</v>
      </c>
    </row>
    <row r="122" spans="1:11" s="9" customFormat="1" ht="15" customHeight="1" x14ac:dyDescent="0.3">
      <c r="C122" s="6" t="s">
        <v>45</v>
      </c>
      <c r="D122" s="9">
        <f>C36</f>
        <v>522</v>
      </c>
      <c r="E122" s="33">
        <f>C37</f>
        <v>500</v>
      </c>
      <c r="F122" s="33">
        <f t="shared" si="1"/>
        <v>261000</v>
      </c>
      <c r="G122" s="33"/>
    </row>
    <row r="123" spans="1:11" s="9" customFormat="1" ht="15" customHeight="1" x14ac:dyDescent="0.3">
      <c r="C123" s="6" t="s">
        <v>134</v>
      </c>
      <c r="D123" s="9">
        <f>C73+C74+C75</f>
        <v>76</v>
      </c>
      <c r="E123" s="76">
        <v>500</v>
      </c>
      <c r="F123" s="33">
        <f t="shared" si="1"/>
        <v>38000</v>
      </c>
      <c r="G123" s="33"/>
      <c r="J123" s="9" t="str">
        <f>J112</f>
        <v>Upfront Battery Purchases</v>
      </c>
      <c r="K123" s="34">
        <f>K112</f>
        <v>1634980.4399524143</v>
      </c>
    </row>
    <row r="124" spans="1:11" s="9" customFormat="1" ht="15" customHeight="1" x14ac:dyDescent="0.3">
      <c r="B124" s="9" t="s">
        <v>135</v>
      </c>
      <c r="G124" s="33">
        <v>100000</v>
      </c>
      <c r="J124" s="9" t="str">
        <f>J113</f>
        <v>Battery Test Channels</v>
      </c>
      <c r="K124" s="34">
        <f>K113</f>
        <v>700000</v>
      </c>
    </row>
    <row r="125" spans="1:11" s="9" customFormat="1" ht="15" customHeight="1" x14ac:dyDescent="0.3">
      <c r="J125" s="9" t="s">
        <v>154</v>
      </c>
      <c r="K125" s="32">
        <f>H110-SUM(K123:K124)</f>
        <v>759300</v>
      </c>
    </row>
    <row r="126" spans="1:11" s="5" customFormat="1" ht="18.75" customHeight="1" x14ac:dyDescent="0.35">
      <c r="A126" s="21" t="s">
        <v>136</v>
      </c>
      <c r="H126" s="30">
        <f>G128+G141</f>
        <v>15989002.68</v>
      </c>
      <c r="K126" s="36"/>
    </row>
    <row r="127" spans="1:11" s="9" customFormat="1" ht="15" customHeight="1" x14ac:dyDescent="0.3">
      <c r="B127" s="31" t="s">
        <v>119</v>
      </c>
      <c r="C127" s="31" t="s">
        <v>120</v>
      </c>
      <c r="D127" s="31" t="s">
        <v>121</v>
      </c>
      <c r="E127" s="31" t="s">
        <v>122</v>
      </c>
      <c r="F127" s="31" t="s">
        <v>123</v>
      </c>
      <c r="G127" s="31" t="s">
        <v>124</v>
      </c>
      <c r="H127" s="32">
        <f>G128+G141</f>
        <v>15989002.68</v>
      </c>
    </row>
    <row r="128" spans="1:11" s="9" customFormat="1" ht="15" customHeight="1" x14ac:dyDescent="0.3">
      <c r="B128" s="9" t="s">
        <v>137</v>
      </c>
      <c r="E128" s="34"/>
      <c r="F128" s="33"/>
      <c r="G128" s="33">
        <f>SUM(F129:F140)</f>
        <v>12280340</v>
      </c>
    </row>
    <row r="129" spans="1:20" s="9" customFormat="1" ht="15" customHeight="1" x14ac:dyDescent="0.3">
      <c r="C129" s="9" t="s">
        <v>138</v>
      </c>
      <c r="D129" s="6">
        <f>C55</f>
        <v>199</v>
      </c>
      <c r="E129" s="37">
        <v>37860</v>
      </c>
      <c r="F129" s="33">
        <f t="shared" ref="F129" si="2">E129*D129</f>
        <v>7534140</v>
      </c>
      <c r="G129" s="33"/>
      <c r="J129" s="9" t="str">
        <f>C129</f>
        <v>Test Technicians</v>
      </c>
      <c r="K129" s="32">
        <f>F129</f>
        <v>7534140</v>
      </c>
    </row>
    <row r="130" spans="1:20" s="9" customFormat="1" ht="15" customHeight="1" x14ac:dyDescent="0.3">
      <c r="C130" s="9" t="s">
        <v>171</v>
      </c>
      <c r="D130" s="6">
        <f>C56</f>
        <v>8</v>
      </c>
      <c r="E130" s="37">
        <v>32660</v>
      </c>
      <c r="F130" s="33">
        <f t="shared" ref="F130:F140" si="3">E130*D130</f>
        <v>261280</v>
      </c>
      <c r="G130" s="33"/>
      <c r="J130" s="9" t="str">
        <f>C134</f>
        <v>Electrical Engineers</v>
      </c>
      <c r="K130" s="32">
        <f>F134</f>
        <v>933800</v>
      </c>
      <c r="Q130" s="85"/>
    </row>
    <row r="131" spans="1:20" s="9" customFormat="1" ht="15" customHeight="1" x14ac:dyDescent="0.3">
      <c r="C131" s="9" t="s">
        <v>172</v>
      </c>
      <c r="D131" s="6">
        <f>C57</f>
        <v>2</v>
      </c>
      <c r="E131" s="37">
        <v>33490</v>
      </c>
      <c r="F131" s="33">
        <f t="shared" si="3"/>
        <v>66980</v>
      </c>
      <c r="G131" s="33"/>
      <c r="J131" s="9" t="str">
        <f>C135</f>
        <v>Sales/Logistics Reps</v>
      </c>
      <c r="K131" s="32">
        <f>F135</f>
        <v>856100</v>
      </c>
    </row>
    <row r="132" spans="1:20" s="9" customFormat="1" ht="15" customHeight="1" x14ac:dyDescent="0.3">
      <c r="C132" s="9" t="s">
        <v>170</v>
      </c>
      <c r="D132" s="6">
        <f>C58</f>
        <v>21</v>
      </c>
      <c r="E132" s="37">
        <v>58150</v>
      </c>
      <c r="F132" s="33">
        <f t="shared" si="3"/>
        <v>1221150</v>
      </c>
      <c r="G132" s="33"/>
      <c r="J132" s="9" t="str">
        <f>C132</f>
        <v>Technician Supervisors</v>
      </c>
      <c r="K132" s="32">
        <f>F132</f>
        <v>1221150</v>
      </c>
    </row>
    <row r="133" spans="1:20" s="9" customFormat="1" ht="15" customHeight="1" x14ac:dyDescent="0.3">
      <c r="C133" s="9" t="s">
        <v>139</v>
      </c>
      <c r="D133" s="6">
        <f>C62</f>
        <v>1</v>
      </c>
      <c r="E133" s="37">
        <v>178400</v>
      </c>
      <c r="F133" s="33">
        <f t="shared" si="3"/>
        <v>178400</v>
      </c>
      <c r="G133" s="33"/>
      <c r="J133" s="9" t="str">
        <f>C133</f>
        <v>Chief Executive</v>
      </c>
      <c r="K133" s="32">
        <f>F133</f>
        <v>178400</v>
      </c>
    </row>
    <row r="134" spans="1:20" s="9" customFormat="1" ht="15" customHeight="1" x14ac:dyDescent="0.3">
      <c r="C134" s="9" t="s">
        <v>173</v>
      </c>
      <c r="D134" s="6">
        <f>C60</f>
        <v>10</v>
      </c>
      <c r="E134" s="37">
        <v>93380</v>
      </c>
      <c r="F134" s="33">
        <f t="shared" si="3"/>
        <v>933800</v>
      </c>
      <c r="G134" s="33"/>
      <c r="J134" s="9" t="str">
        <f>C130</f>
        <v>Forklift Drivers</v>
      </c>
      <c r="K134" s="32">
        <f>F130</f>
        <v>261280</v>
      </c>
    </row>
    <row r="135" spans="1:20" s="9" customFormat="1" ht="15" customHeight="1" x14ac:dyDescent="0.3">
      <c r="C135" s="9" t="s">
        <v>174</v>
      </c>
      <c r="D135" s="6">
        <f>C59</f>
        <v>10</v>
      </c>
      <c r="E135" s="37">
        <v>85610</v>
      </c>
      <c r="F135" s="33">
        <f t="shared" si="3"/>
        <v>856100</v>
      </c>
      <c r="G135" s="33"/>
      <c r="J135" s="9" t="str">
        <f>C139</f>
        <v>Operations Manager</v>
      </c>
      <c r="K135" s="32">
        <f>F139</f>
        <v>116090</v>
      </c>
    </row>
    <row r="136" spans="1:20" s="9" customFormat="1" ht="15" customHeight="1" x14ac:dyDescent="0.3">
      <c r="C136" s="9" t="s">
        <v>175</v>
      </c>
      <c r="D136" s="6">
        <f>C63</f>
        <v>9</v>
      </c>
      <c r="E136" s="37">
        <v>34000</v>
      </c>
      <c r="F136" s="33">
        <f t="shared" si="3"/>
        <v>306000</v>
      </c>
      <c r="G136" s="33"/>
      <c r="J136" s="9" t="str">
        <f>C136</f>
        <v>Administrative Assistants</v>
      </c>
      <c r="K136" s="32">
        <f>F136</f>
        <v>306000</v>
      </c>
    </row>
    <row r="137" spans="1:20" s="9" customFormat="1" ht="15" customHeight="1" x14ac:dyDescent="0.3">
      <c r="C137" s="58" t="s">
        <v>140</v>
      </c>
      <c r="D137" s="86">
        <f>C65</f>
        <v>0</v>
      </c>
      <c r="E137" s="77">
        <v>27550</v>
      </c>
      <c r="F137" s="60">
        <f t="shared" si="3"/>
        <v>0</v>
      </c>
      <c r="G137" s="33"/>
      <c r="J137" s="9" t="str">
        <f>C138</f>
        <v>Human Resources Manager</v>
      </c>
      <c r="K137" s="32">
        <f>F138</f>
        <v>806400</v>
      </c>
    </row>
    <row r="138" spans="1:20" s="9" customFormat="1" ht="15" customHeight="1" x14ac:dyDescent="0.3">
      <c r="C138" s="6" t="s">
        <v>181</v>
      </c>
      <c r="D138" s="6">
        <f>C64</f>
        <v>8</v>
      </c>
      <c r="E138" s="37">
        <v>100800</v>
      </c>
      <c r="F138" s="33">
        <f t="shared" si="3"/>
        <v>806400</v>
      </c>
      <c r="G138" s="33"/>
      <c r="J138" s="9" t="str">
        <f>C131</f>
        <v>Truck Drivers</v>
      </c>
      <c r="K138" s="32">
        <f>F131</f>
        <v>66980</v>
      </c>
      <c r="M138" s="10"/>
    </row>
    <row r="139" spans="1:20" s="9" customFormat="1" ht="15" customHeight="1" x14ac:dyDescent="0.3">
      <c r="C139" s="6" t="s">
        <v>141</v>
      </c>
      <c r="D139" s="6">
        <f>C61</f>
        <v>1</v>
      </c>
      <c r="E139" s="40">
        <v>116090</v>
      </c>
      <c r="F139" s="33">
        <f t="shared" si="3"/>
        <v>116090</v>
      </c>
      <c r="G139" s="33"/>
      <c r="H139" s="6"/>
    </row>
    <row r="140" spans="1:20" s="9" customFormat="1" ht="15" customHeight="1" x14ac:dyDescent="0.3">
      <c r="C140" s="58" t="s">
        <v>187</v>
      </c>
      <c r="D140" s="86">
        <f>C66</f>
        <v>0</v>
      </c>
      <c r="E140" s="78">
        <v>25140</v>
      </c>
      <c r="F140" s="60">
        <f t="shared" si="3"/>
        <v>0</v>
      </c>
      <c r="G140" s="39"/>
      <c r="H140" s="6"/>
    </row>
    <row r="141" spans="1:20" s="9" customFormat="1" ht="15" customHeight="1" x14ac:dyDescent="0.3">
      <c r="B141" s="9" t="s">
        <v>142</v>
      </c>
      <c r="D141" s="12">
        <v>0.30199999999999999</v>
      </c>
      <c r="E141" s="33">
        <f>G128</f>
        <v>12280340</v>
      </c>
      <c r="F141" s="33"/>
      <c r="G141" s="33">
        <f>D141*E141</f>
        <v>3708662.6799999997</v>
      </c>
      <c r="H141" s="35"/>
      <c r="I141" s="6"/>
      <c r="K141" s="32"/>
      <c r="T141" s="10"/>
    </row>
    <row r="142" spans="1:20" s="9" customFormat="1" ht="15" customHeight="1" x14ac:dyDescent="0.3">
      <c r="J142" s="34"/>
    </row>
    <row r="143" spans="1:20" s="5" customFormat="1" ht="18.75" customHeight="1" x14ac:dyDescent="0.35">
      <c r="A143" s="21" t="s">
        <v>143</v>
      </c>
      <c r="H143" s="30">
        <f>G145+G154</f>
        <v>42329941.62441621</v>
      </c>
    </row>
    <row r="144" spans="1:20" s="9" customFormat="1" ht="15" customHeight="1" x14ac:dyDescent="0.3">
      <c r="B144" s="31" t="s">
        <v>119</v>
      </c>
      <c r="C144" s="31" t="s">
        <v>120</v>
      </c>
      <c r="D144" s="31" t="s">
        <v>121</v>
      </c>
      <c r="E144" s="31" t="s">
        <v>122</v>
      </c>
      <c r="F144" s="31" t="s">
        <v>123</v>
      </c>
      <c r="G144" s="31" t="s">
        <v>124</v>
      </c>
    </row>
    <row r="145" spans="2:11" s="9" customFormat="1" ht="15" customHeight="1" x14ac:dyDescent="0.3">
      <c r="B145" s="9" t="s">
        <v>144</v>
      </c>
      <c r="E145" s="34"/>
      <c r="F145" s="34"/>
      <c r="G145" s="33">
        <f>SUM(F146:F153)</f>
        <v>36159827.891971804</v>
      </c>
    </row>
    <row r="146" spans="2:11" s="9" customFormat="1" ht="15" customHeight="1" x14ac:dyDescent="0.3">
      <c r="C146" s="9" t="s">
        <v>145</v>
      </c>
      <c r="D146" s="6">
        <f>C19</f>
        <v>200000</v>
      </c>
      <c r="E146" s="41">
        <v>98.098826397144848</v>
      </c>
      <c r="F146" s="33">
        <f>E146*D146</f>
        <v>19619765.27942897</v>
      </c>
      <c r="G146" s="33"/>
      <c r="H146" s="42">
        <f>F146/H143</f>
        <v>0.46349615724752502</v>
      </c>
    </row>
    <row r="147" spans="2:11" s="9" customFormat="1" ht="15" customHeight="1" x14ac:dyDescent="0.3">
      <c r="C147" s="35" t="s">
        <v>146</v>
      </c>
      <c r="D147" s="38">
        <v>0</v>
      </c>
      <c r="E147" s="39">
        <v>250</v>
      </c>
      <c r="F147" s="39">
        <f>E147*D147</f>
        <v>0</v>
      </c>
      <c r="G147" s="33"/>
      <c r="H147" s="9">
        <f>Batt_Buy_Cost/24</f>
        <v>4.0874510998810356</v>
      </c>
      <c r="J147" s="9" t="s">
        <v>147</v>
      </c>
      <c r="K147" s="32">
        <f>F146</f>
        <v>19619765.27942897</v>
      </c>
    </row>
    <row r="148" spans="2:11" s="9" customFormat="1" ht="15" customHeight="1" x14ac:dyDescent="0.3">
      <c r="C148" s="9" t="s">
        <v>148</v>
      </c>
      <c r="E148" s="34"/>
      <c r="F148" s="33">
        <f>H126</f>
        <v>15989002.68</v>
      </c>
      <c r="G148" s="33"/>
      <c r="H148" s="32">
        <f>(F148+F146)/H143</f>
        <v>0.84121939678956648</v>
      </c>
      <c r="J148" s="9" t="s">
        <v>148</v>
      </c>
      <c r="K148" s="32">
        <f>F148</f>
        <v>15989002.68</v>
      </c>
    </row>
    <row r="149" spans="2:11" s="9" customFormat="1" ht="15" customHeight="1" x14ac:dyDescent="0.3">
      <c r="C149" s="9" t="s">
        <v>149</v>
      </c>
      <c r="D149" s="6">
        <f>H69</f>
        <v>15019.034120734908</v>
      </c>
      <c r="E149" s="76">
        <v>9.6999999999999993</v>
      </c>
      <c r="F149" s="33">
        <f>E149*D149</f>
        <v>145684.63097112859</v>
      </c>
      <c r="G149" s="33"/>
      <c r="H149" s="33"/>
      <c r="J149" s="9" t="s">
        <v>176</v>
      </c>
      <c r="K149" s="32">
        <f>SUM(F150:F151)</f>
        <v>98328.5015717153</v>
      </c>
    </row>
    <row r="150" spans="2:11" s="9" customFormat="1" ht="15" customHeight="1" x14ac:dyDescent="0.3">
      <c r="C150" s="9" t="s">
        <v>188</v>
      </c>
      <c r="D150" s="6">
        <f>C45</f>
        <v>617647.0588235294</v>
      </c>
      <c r="E150" s="76">
        <v>0.104</v>
      </c>
      <c r="F150" s="33">
        <f>E150*D150</f>
        <v>64235.294117647056</v>
      </c>
      <c r="G150" s="33"/>
      <c r="H150" s="33"/>
      <c r="J150" s="6" t="s">
        <v>150</v>
      </c>
      <c r="K150" s="32">
        <f>F157</f>
        <v>2192532.6643275088</v>
      </c>
    </row>
    <row r="151" spans="2:11" s="9" customFormat="1" ht="15" customHeight="1" x14ac:dyDescent="0.3">
      <c r="C151" s="9" t="s">
        <v>189</v>
      </c>
      <c r="D151" s="6">
        <f>H69</f>
        <v>15019.034120734908</v>
      </c>
      <c r="E151" s="76">
        <v>2.27</v>
      </c>
      <c r="F151" s="33">
        <f>E151*D151</f>
        <v>34093.207454068244</v>
      </c>
      <c r="G151" s="33"/>
      <c r="H151" s="33"/>
      <c r="J151" s="6" t="s">
        <v>151</v>
      </c>
      <c r="K151" s="32">
        <f>F156</f>
        <v>1807991.3945985902</v>
      </c>
    </row>
    <row r="152" spans="2:11" s="9" customFormat="1" ht="15" customHeight="1" x14ac:dyDescent="0.3">
      <c r="C152" s="9" t="s">
        <v>28</v>
      </c>
      <c r="D152" s="6">
        <f>C35</f>
        <v>122880</v>
      </c>
      <c r="E152" s="33">
        <f>C28</f>
        <v>0.5</v>
      </c>
      <c r="F152" s="33">
        <f>E152*D152</f>
        <v>61440</v>
      </c>
      <c r="G152" s="33"/>
      <c r="H152" s="33"/>
      <c r="J152" s="6" t="s">
        <v>156</v>
      </c>
      <c r="K152" s="32">
        <f>F158</f>
        <v>1084794.836759154</v>
      </c>
    </row>
    <row r="153" spans="2:11" s="9" customFormat="1" ht="15" customHeight="1" x14ac:dyDescent="0.3">
      <c r="C153" s="9" t="s">
        <v>153</v>
      </c>
      <c r="D153" s="6">
        <v>0.02</v>
      </c>
      <c r="E153" s="33">
        <f>G128</f>
        <v>12280340</v>
      </c>
      <c r="F153" s="33">
        <f>E153*D153</f>
        <v>245606.80000000002</v>
      </c>
      <c r="G153" s="33"/>
      <c r="H153" s="6"/>
      <c r="J153" s="9" t="s">
        <v>152</v>
      </c>
      <c r="K153" s="32">
        <f>F155</f>
        <v>1084794.836759154</v>
      </c>
    </row>
    <row r="154" spans="2:11" s="9" customFormat="1" ht="15" customHeight="1" x14ac:dyDescent="0.3">
      <c r="B154" s="9" t="s">
        <v>155</v>
      </c>
      <c r="E154" s="33"/>
      <c r="F154" s="33"/>
      <c r="G154" s="33">
        <f>SUM(F155:F158)</f>
        <v>6170113.7324444065</v>
      </c>
      <c r="H154" s="6"/>
      <c r="J154" s="6" t="s">
        <v>154</v>
      </c>
      <c r="K154" s="32">
        <f>H143-SUM(K147:K153)</f>
        <v>452731.43097111583</v>
      </c>
    </row>
    <row r="155" spans="2:11" s="9" customFormat="1" ht="15" customHeight="1" x14ac:dyDescent="0.3">
      <c r="C155" s="9" t="s">
        <v>152</v>
      </c>
      <c r="D155" s="12">
        <v>0.03</v>
      </c>
      <c r="E155" s="33">
        <f>G145</f>
        <v>36159827.891971804</v>
      </c>
      <c r="F155" s="33">
        <f>E155*D155</f>
        <v>1084794.836759154</v>
      </c>
      <c r="G155" s="33"/>
      <c r="H155" s="6"/>
    </row>
    <row r="156" spans="2:11" s="9" customFormat="1" ht="15" customHeight="1" x14ac:dyDescent="0.3">
      <c r="C156" s="9" t="s">
        <v>151</v>
      </c>
      <c r="D156" s="12">
        <v>0.05</v>
      </c>
      <c r="E156" s="33">
        <f>G145</f>
        <v>36159827.891971804</v>
      </c>
      <c r="F156" s="33">
        <f>E156*D156</f>
        <v>1807991.3945985902</v>
      </c>
      <c r="G156" s="33"/>
      <c r="H156" s="6"/>
      <c r="J156" s="6" t="s">
        <v>144</v>
      </c>
      <c r="K156" s="32">
        <f>SUM(F146:F153)</f>
        <v>36159827.891971804</v>
      </c>
    </row>
    <row r="157" spans="2:11" s="9" customFormat="1" ht="15" customHeight="1" x14ac:dyDescent="0.3">
      <c r="C157" s="9" t="s">
        <v>150</v>
      </c>
      <c r="D157" s="12">
        <v>0.05</v>
      </c>
      <c r="E157" s="33">
        <f>C167*C18*C15</f>
        <v>43850653.286550172</v>
      </c>
      <c r="F157" s="33">
        <f>E157*D157</f>
        <v>2192532.6643275088</v>
      </c>
      <c r="G157" s="33"/>
      <c r="H157" s="6"/>
      <c r="I157" s="43"/>
      <c r="J157" s="6" t="s">
        <v>155</v>
      </c>
      <c r="K157" s="32">
        <f>H143-K156</f>
        <v>6170113.7324444056</v>
      </c>
    </row>
    <row r="158" spans="2:11" s="9" customFormat="1" ht="15" customHeight="1" x14ac:dyDescent="0.3">
      <c r="C158" s="27" t="s">
        <v>156</v>
      </c>
      <c r="D158" s="12">
        <v>0.03</v>
      </c>
      <c r="E158" s="33">
        <f>G145</f>
        <v>36159827.891971804</v>
      </c>
      <c r="F158" s="33">
        <f>E158*D158</f>
        <v>1084794.836759154</v>
      </c>
      <c r="G158" s="33"/>
      <c r="H158" s="27"/>
      <c r="K158" s="32"/>
    </row>
    <row r="159" spans="2:11" s="9" customFormat="1" ht="15" customHeight="1" x14ac:dyDescent="0.3">
      <c r="D159" s="27"/>
      <c r="E159" s="33"/>
      <c r="F159" s="33"/>
      <c r="G159" s="33"/>
      <c r="H159" s="27"/>
      <c r="K159" s="32"/>
    </row>
    <row r="160" spans="2:11" s="9" customFormat="1" x14ac:dyDescent="0.3">
      <c r="D160" s="6"/>
    </row>
    <row r="161" spans="1:37" s="5" customFormat="1" ht="18" x14ac:dyDescent="0.35">
      <c r="A161" s="21" t="s">
        <v>157</v>
      </c>
      <c r="L161" s="44"/>
      <c r="M161" s="44"/>
      <c r="N161" s="44"/>
      <c r="O161" s="44"/>
    </row>
    <row r="162" spans="1:37" s="9" customFormat="1" x14ac:dyDescent="0.3">
      <c r="B162" s="9" t="s">
        <v>158</v>
      </c>
      <c r="C162" s="33">
        <f>C15*C2</f>
        <v>220</v>
      </c>
      <c r="D162" s="6" t="s">
        <v>159</v>
      </c>
      <c r="E162" s="48" t="s">
        <v>0</v>
      </c>
      <c r="F162" s="48" t="s">
        <v>161</v>
      </c>
      <c r="G162" s="48" t="s">
        <v>162</v>
      </c>
      <c r="H162" s="48" t="s">
        <v>163</v>
      </c>
      <c r="I162" s="48" t="s">
        <v>177</v>
      </c>
      <c r="J162" s="48" t="s">
        <v>164</v>
      </c>
      <c r="K162" s="48" t="s">
        <v>165</v>
      </c>
      <c r="L162" s="6"/>
      <c r="M162" s="6"/>
      <c r="N162" s="6"/>
      <c r="O162" s="6"/>
    </row>
    <row r="163" spans="1:37" s="9" customFormat="1" x14ac:dyDescent="0.3">
      <c r="B163" s="9" t="s">
        <v>185</v>
      </c>
      <c r="C163" s="79">
        <v>0.15</v>
      </c>
      <c r="D163" s="6"/>
      <c r="E163" s="6">
        <v>0</v>
      </c>
      <c r="F163" s="33">
        <f>H110</f>
        <v>3094280.4399524145</v>
      </c>
      <c r="G163" s="33">
        <v>0</v>
      </c>
      <c r="H163" s="33">
        <v>0</v>
      </c>
      <c r="J163" s="33">
        <f>-F163</f>
        <v>-3094280.4399524145</v>
      </c>
      <c r="K163" s="49">
        <f>SUM(J163:J168)</f>
        <v>2.0605511963367462E-8</v>
      </c>
      <c r="L163" s="6"/>
      <c r="M163" s="45"/>
      <c r="N163" s="45"/>
      <c r="O163" s="45"/>
      <c r="AF163" s="32"/>
      <c r="AG163" s="32"/>
      <c r="AH163" s="32"/>
      <c r="AI163" s="46"/>
    </row>
    <row r="164" spans="1:37" s="9" customFormat="1" ht="19.5" customHeight="1" x14ac:dyDescent="0.35">
      <c r="A164" s="47"/>
      <c r="B164" s="9" t="s">
        <v>160</v>
      </c>
      <c r="C164" s="79">
        <v>0.39300000000000002</v>
      </c>
      <c r="D164" s="57"/>
      <c r="E164" s="6">
        <v>1</v>
      </c>
      <c r="F164" s="33">
        <f>H$143</f>
        <v>42329941.62441621</v>
      </c>
      <c r="G164" s="33">
        <f>MAX(0,(H164-F164)*(C$164+C$165))</f>
        <v>597639.68321864703</v>
      </c>
      <c r="H164" s="33">
        <f>C$166</f>
        <v>43850653.286550172</v>
      </c>
      <c r="I164" s="32">
        <f>H164-G164-F164</f>
        <v>923071.9789153114</v>
      </c>
      <c r="J164" s="33">
        <f>(H164-G164-F164)*(1+C$163)^-E164</f>
        <v>802671.28601331438</v>
      </c>
      <c r="K164" s="33"/>
      <c r="L164" s="6"/>
      <c r="M164" s="45"/>
      <c r="N164" s="45"/>
      <c r="O164" s="45"/>
    </row>
    <row r="165" spans="1:37" s="9" customFormat="1" ht="18" x14ac:dyDescent="0.35">
      <c r="A165" s="47"/>
      <c r="B165" s="9" t="s">
        <v>166</v>
      </c>
      <c r="C165" s="80">
        <v>0</v>
      </c>
      <c r="D165" s="6"/>
      <c r="E165" s="6">
        <v>2</v>
      </c>
      <c r="F165" s="33">
        <f>H$143</f>
        <v>42329941.62441621</v>
      </c>
      <c r="G165" s="33">
        <f>MAX(0,(H165-F165)*(C$164+C$165))</f>
        <v>597639.68321864703</v>
      </c>
      <c r="H165" s="33">
        <f>C$166</f>
        <v>43850653.286550172</v>
      </c>
      <c r="I165" s="32">
        <f>H165-G165-F165</f>
        <v>923071.9789153114</v>
      </c>
      <c r="J165" s="33">
        <f>(H165-G165-F165)*(1+C$163)^-E165</f>
        <v>697975.03131592553</v>
      </c>
      <c r="K165" s="33"/>
      <c r="L165" s="6"/>
      <c r="M165" s="45"/>
      <c r="N165" s="45"/>
      <c r="O165" s="45"/>
      <c r="AE165" s="50"/>
    </row>
    <row r="166" spans="1:37" s="9" customFormat="1" x14ac:dyDescent="0.3">
      <c r="B166" s="9" t="s">
        <v>167</v>
      </c>
      <c r="C166" s="33">
        <f>C162*D146*C167</f>
        <v>43850653.286550172</v>
      </c>
      <c r="D166" s="6"/>
      <c r="E166" s="6">
        <v>3</v>
      </c>
      <c r="F166" s="33">
        <f>H$143</f>
        <v>42329941.62441621</v>
      </c>
      <c r="G166" s="33">
        <f>MAX(0,(H166-F166)*(C$164+C$165))</f>
        <v>597639.68321864703</v>
      </c>
      <c r="H166" s="33">
        <f>C$166</f>
        <v>43850653.286550172</v>
      </c>
      <c r="I166" s="32">
        <f>H166-G166-F166</f>
        <v>923071.9789153114</v>
      </c>
      <c r="J166" s="33">
        <f>(H166-G166-F166)*(1+C$163)^-E166</f>
        <v>606934.80983993527</v>
      </c>
      <c r="K166" s="33"/>
      <c r="L166" s="6"/>
      <c r="M166" s="45"/>
      <c r="N166" s="45"/>
      <c r="O166" s="45"/>
    </row>
    <row r="167" spans="1:37" s="9" customFormat="1" x14ac:dyDescent="0.3">
      <c r="B167" s="6" t="s">
        <v>168</v>
      </c>
      <c r="C167" s="87">
        <f>(1-C14)^(C2*C13)</f>
        <v>0.99660575651250383</v>
      </c>
      <c r="E167" s="6">
        <v>4</v>
      </c>
      <c r="F167" s="33">
        <f>H$143</f>
        <v>42329941.62441621</v>
      </c>
      <c r="G167" s="33">
        <f>MAX(0,(H167-F167)*(C$164+C$165))</f>
        <v>597639.68321864703</v>
      </c>
      <c r="H167" s="33">
        <f>C$166</f>
        <v>43850653.286550172</v>
      </c>
      <c r="I167" s="32">
        <f>H167-G167-F167</f>
        <v>923071.9789153114</v>
      </c>
      <c r="J167" s="33">
        <f>(H167-G167-F167)*(1+C$163)^-E167</f>
        <v>527769.3998608134</v>
      </c>
      <c r="K167" s="33"/>
      <c r="L167" s="6"/>
      <c r="M167" s="45"/>
      <c r="N167" s="45"/>
      <c r="O167" s="45"/>
    </row>
    <row r="168" spans="1:37" s="9" customFormat="1" x14ac:dyDescent="0.3">
      <c r="B168" s="6"/>
      <c r="E168" s="6">
        <v>5</v>
      </c>
      <c r="F168" s="33">
        <f>H$143</f>
        <v>42329941.62441621</v>
      </c>
      <c r="G168" s="33">
        <f>MAX(0,(H168-F168)*(C$164+C$165))</f>
        <v>597639.68321864703</v>
      </c>
      <c r="H168" s="33">
        <f>C$166</f>
        <v>43850653.286550172</v>
      </c>
      <c r="I168" s="32">
        <f>H168-G168-F168</f>
        <v>923071.9789153114</v>
      </c>
      <c r="J168" s="33">
        <f>(H168-G168-F168)*(1+C$163)^-E168</f>
        <v>458929.91292244638</v>
      </c>
      <c r="K168" s="33"/>
      <c r="L168" s="6"/>
      <c r="M168" s="45"/>
      <c r="N168" s="45"/>
      <c r="O168" s="45"/>
    </row>
    <row r="169" spans="1:37" s="5" customFormat="1" ht="18" x14ac:dyDescent="0.35">
      <c r="A169" s="21" t="s">
        <v>193</v>
      </c>
      <c r="L169" s="44"/>
      <c r="M169" s="44"/>
      <c r="N169" s="44"/>
      <c r="O169" s="44"/>
    </row>
    <row r="170" spans="1:37" x14ac:dyDescent="0.3">
      <c r="A170" s="6"/>
      <c r="B170" s="27" t="s">
        <v>191</v>
      </c>
      <c r="C170" s="83">
        <f>Batt_Buy_Cost/C2</f>
        <v>19.619765279428968</v>
      </c>
      <c r="D170" s="3"/>
      <c r="E170" s="51"/>
      <c r="F170" s="23"/>
      <c r="G170" s="52"/>
      <c r="H170" s="52"/>
      <c r="I170" s="52"/>
      <c r="AB170" s="9"/>
      <c r="AC170" s="9"/>
      <c r="AD170" s="9"/>
      <c r="AE170" s="9"/>
      <c r="AF170" s="32"/>
      <c r="AG170" s="32"/>
      <c r="AH170" s="32"/>
      <c r="AI170" s="46"/>
      <c r="AJ170" s="9"/>
      <c r="AK170" s="9"/>
    </row>
    <row r="171" spans="1:37" x14ac:dyDescent="0.3">
      <c r="B171" s="27" t="s">
        <v>192</v>
      </c>
      <c r="C171" s="84">
        <f>(C162-E146)/C2</f>
        <v>24.380234720571032</v>
      </c>
      <c r="D171" s="48"/>
      <c r="E171" s="53"/>
      <c r="F171" s="61"/>
      <c r="G171" s="62"/>
      <c r="H171" s="62"/>
      <c r="I171" s="62"/>
      <c r="J171" s="62"/>
      <c r="AB171" s="9"/>
      <c r="AC171" s="9"/>
      <c r="AD171" s="9"/>
      <c r="AE171" s="9"/>
      <c r="AF171" s="32"/>
      <c r="AG171" s="32"/>
      <c r="AH171" s="32"/>
      <c r="AI171" s="46"/>
      <c r="AJ171" s="9"/>
      <c r="AK171" s="9"/>
    </row>
    <row r="172" spans="1:37" x14ac:dyDescent="0.3">
      <c r="D172" s="48"/>
      <c r="E172" s="54"/>
      <c r="F172" s="61"/>
      <c r="G172" s="62"/>
      <c r="H172" s="62"/>
      <c r="I172" s="62"/>
      <c r="J172" s="62"/>
      <c r="AB172" s="9"/>
      <c r="AC172" s="9"/>
      <c r="AD172" s="9"/>
      <c r="AE172" s="50"/>
      <c r="AF172" s="55"/>
      <c r="AG172" s="55"/>
      <c r="AH172" s="55"/>
      <c r="AI172" s="56"/>
      <c r="AJ172" s="9"/>
      <c r="AK172" s="9"/>
    </row>
    <row r="173" spans="1:37" x14ac:dyDescent="0.3">
      <c r="B173" s="48"/>
      <c r="C173" s="54"/>
      <c r="D173" s="48"/>
      <c r="E173" s="54"/>
      <c r="F173" s="61"/>
      <c r="G173" s="62"/>
      <c r="H173" s="62"/>
      <c r="I173" s="62"/>
      <c r="J173" s="62"/>
      <c r="AB173" s="9"/>
      <c r="AC173" s="9"/>
      <c r="AD173" s="9"/>
      <c r="AE173" s="9"/>
      <c r="AF173" s="32"/>
      <c r="AG173" s="32"/>
      <c r="AH173" s="32"/>
      <c r="AI173" s="46"/>
      <c r="AJ173" s="9"/>
      <c r="AK173" s="9"/>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SeekBuyPrice">
                <anchor moveWithCells="1" sizeWithCells="1">
                  <from>
                    <xdr:col>0</xdr:col>
                    <xdr:colOff>449580</xdr:colOff>
                    <xdr:row>169</xdr:row>
                    <xdr:rowOff>175260</xdr:rowOff>
                  </from>
                  <to>
                    <xdr:col>0</xdr:col>
                    <xdr:colOff>1722120</xdr:colOff>
                    <xdr:row>172</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Use Agreement</vt:lpstr>
      <vt:lpstr>Repurposing</vt:lpstr>
      <vt:lpstr>Batt_Buy_Cost</vt:lpstr>
      <vt:lpstr>Total_NPV</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NREL</dc:creator>
  <cp:lastModifiedBy>JT</cp:lastModifiedBy>
  <dcterms:created xsi:type="dcterms:W3CDTF">2014-08-25T18:41:09Z</dcterms:created>
  <dcterms:modified xsi:type="dcterms:W3CDTF">2016-12-14T00:53:05Z</dcterms:modified>
</cp:coreProperties>
</file>