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jwheasle\Downloads\"/>
    </mc:Choice>
  </mc:AlternateContent>
  <xr:revisionPtr revIDLastSave="0" documentId="13_ncr:1_{5388FD5C-C03E-4422-8C38-529E816556DA}" xr6:coauthVersionLast="45" xr6:coauthVersionMax="45" xr10:uidLastSave="{00000000-0000-0000-0000-000000000000}"/>
  <bookViews>
    <workbookView xWindow="-110" yWindow="-110" windowWidth="18020" windowHeight="11020" xr2:uid="{00000000-000D-0000-FFFF-FFFF00000000}"/>
  </bookViews>
  <sheets>
    <sheet name="Use Agreement" sheetId="16" r:id="rId1"/>
    <sheet name="Repurposing" sheetId="15" r:id="rId2"/>
  </sheets>
  <externalReferences>
    <externalReference r:id="rId3"/>
    <externalReference r:id="rId4"/>
    <externalReference r:id="rId5"/>
  </externalReferences>
  <definedNames>
    <definedName name="\K">#REF!</definedName>
    <definedName name="\M">#REF!</definedName>
    <definedName name="\R">#REF!</definedName>
    <definedName name="AltRateMiscCostsDG">'[1]Electric Cost Calcs. '!$W$49</definedName>
    <definedName name="AltRateTotalDmndDlrsDG">'[1]Electric Cost Calcs. '!$V$50</definedName>
    <definedName name="AltRateTotalNrgDlrsDG">'[1]Electric Cost Calcs. '!$Q$50</definedName>
    <definedName name="AnnualDGProd">[2]Inputs_old!#REF!</definedName>
    <definedName name="as">[3]ChemCalcs!#REF!</definedName>
    <definedName name="Batt_Buy_Cost">Repurposing!$E$146</definedName>
    <definedName name="BOX">#REF!</definedName>
    <definedName name="cs">[3]ChemCalcs!#REF!</definedName>
    <definedName name="CurrentMiscCostsDG">'[1]Electric Cost Calcs. '!$K$49</definedName>
    <definedName name="CurrentMiscCostsNoDG">'[1]Electric Cost Calcs. '!$K$29</definedName>
    <definedName name="CurrentTotalDmndDlrsDG">'[1]Electric Cost Calcs. '!$J$50</definedName>
    <definedName name="CurrentTotalDmndDlrsNoDG">'[1]Electric Cost Calcs. '!$J$30</definedName>
    <definedName name="CurrentTotalNrgDlrsDG">'[1]Electric Cost Calcs. '!$E$50</definedName>
    <definedName name="CurrentTotalNrgDlrsNoDG">'[1]Electric Cost Calcs. '!$E$30</definedName>
    <definedName name="DiscRate" localSheetId="1">#REF!</definedName>
    <definedName name="DiscRate">#REF!</definedName>
    <definedName name="ElectricIOU">[2]Inputs_old!#REF!</definedName>
    <definedName name="InfRate" localSheetId="1">#REF!</definedName>
    <definedName name="InfRate">#REF!</definedName>
    <definedName name="INTERNET">#REF!</definedName>
    <definedName name="KWHperMi" localSheetId="1">#REF!</definedName>
    <definedName name="KWHperMi">#REF!</definedName>
    <definedName name="MPG" localSheetId="1">#REF!</definedName>
    <definedName name="MPG">#REF!</definedName>
    <definedName name="OptimalSysSize">'[1]Grpahical Clcualtion'!$S$12</definedName>
    <definedName name="PE">#REF!</definedName>
    <definedName name="PVSizeAC">[2]Inputs_old!#REF!</definedName>
    <definedName name="SDC">#REF!</definedName>
    <definedName name="ServiceVoltage">[2]Inputs_old!#REF!</definedName>
    <definedName name="SOURCE">#REF!</definedName>
    <definedName name="STOU">#REF!</definedName>
    <definedName name="Total_NPV">Repurposing!$K$163</definedName>
    <definedName name="VMT" localSheetId="1">#REF!</definedName>
    <definedName name="VMT">#REF!</definedName>
    <definedName name="WDC">#REF!</definedName>
    <definedName name="WTOU">#REF!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5" l="1"/>
  <c r="C167" i="15"/>
  <c r="E157" i="15"/>
  <c r="F157" i="15"/>
  <c r="C19" i="15"/>
  <c r="D146" i="15"/>
  <c r="F146" i="15"/>
  <c r="C48" i="15"/>
  <c r="C49" i="15"/>
  <c r="C55" i="15"/>
  <c r="D129" i="15"/>
  <c r="F129" i="15"/>
  <c r="C20" i="15"/>
  <c r="C7" i="15"/>
  <c r="C10" i="15"/>
  <c r="C9" i="15"/>
  <c r="C8" i="15"/>
  <c r="C11" i="15"/>
  <c r="E11" i="15"/>
  <c r="C86" i="15"/>
  <c r="C89" i="15"/>
  <c r="C50" i="15"/>
  <c r="C52" i="15"/>
  <c r="C56" i="15"/>
  <c r="D130" i="15"/>
  <c r="F130" i="15"/>
  <c r="C6" i="15"/>
  <c r="F30" i="15"/>
  <c r="C30" i="15"/>
  <c r="F29" i="15"/>
  <c r="C29" i="15"/>
  <c r="C31" i="15"/>
  <c r="C32" i="15"/>
  <c r="C25" i="15"/>
  <c r="C33" i="15"/>
  <c r="C34" i="15"/>
  <c r="C57" i="15"/>
  <c r="D131" i="15"/>
  <c r="F131" i="15"/>
  <c r="C58" i="15"/>
  <c r="D132" i="15"/>
  <c r="F132" i="15"/>
  <c r="C59" i="15"/>
  <c r="C60" i="15"/>
  <c r="C61" i="15"/>
  <c r="C63" i="15"/>
  <c r="D136" i="15"/>
  <c r="F136" i="15"/>
  <c r="C64" i="15"/>
  <c r="D138" i="15"/>
  <c r="F138" i="15"/>
  <c r="D139" i="15"/>
  <c r="F139" i="15"/>
  <c r="D134" i="15"/>
  <c r="F134" i="15"/>
  <c r="D135" i="15"/>
  <c r="F135" i="15"/>
  <c r="D133" i="15"/>
  <c r="F133" i="15"/>
  <c r="D137" i="15"/>
  <c r="F137" i="15"/>
  <c r="D140" i="15"/>
  <c r="F140" i="15"/>
  <c r="G128" i="15"/>
  <c r="E141" i="15"/>
  <c r="G141" i="15"/>
  <c r="H126" i="15"/>
  <c r="F148" i="15"/>
  <c r="C67" i="15"/>
  <c r="C106" i="15"/>
  <c r="C104" i="15"/>
  <c r="C101" i="15"/>
  <c r="C103" i="15"/>
  <c r="C105" i="15"/>
  <c r="C99" i="15"/>
  <c r="C107" i="15"/>
  <c r="C108" i="15"/>
  <c r="C84" i="15"/>
  <c r="E10" i="15"/>
  <c r="C90" i="15"/>
  <c r="C91" i="15"/>
  <c r="C93" i="15"/>
  <c r="E8" i="15"/>
  <c r="C77" i="15"/>
  <c r="C79" i="15"/>
  <c r="C71" i="15"/>
  <c r="C81" i="15"/>
  <c r="C92" i="15"/>
  <c r="C94" i="15"/>
  <c r="C96" i="15"/>
  <c r="C97" i="15"/>
  <c r="C73" i="15"/>
  <c r="C74" i="15"/>
  <c r="C75" i="15"/>
  <c r="E9" i="15"/>
  <c r="C76" i="15"/>
  <c r="C80" i="15"/>
  <c r="C82" i="15"/>
  <c r="H69" i="15"/>
  <c r="D149" i="15"/>
  <c r="F149" i="15"/>
  <c r="C12" i="15"/>
  <c r="C45" i="15"/>
  <c r="D150" i="15"/>
  <c r="F150" i="15"/>
  <c r="D151" i="15"/>
  <c r="F151" i="15"/>
  <c r="C24" i="15"/>
  <c r="C35" i="15"/>
  <c r="D152" i="15"/>
  <c r="F28" i="15"/>
  <c r="C28" i="15"/>
  <c r="E152" i="15"/>
  <c r="F152" i="15"/>
  <c r="E153" i="15"/>
  <c r="F153" i="15"/>
  <c r="F147" i="15"/>
  <c r="G145" i="15"/>
  <c r="E155" i="15"/>
  <c r="F155" i="15"/>
  <c r="E156" i="15"/>
  <c r="F156" i="15"/>
  <c r="E158" i="15"/>
  <c r="F158" i="15"/>
  <c r="G154" i="15"/>
  <c r="H143" i="15"/>
  <c r="E118" i="15"/>
  <c r="D118" i="15"/>
  <c r="F118" i="15"/>
  <c r="D117" i="15"/>
  <c r="F117" i="15"/>
  <c r="C95" i="15"/>
  <c r="D119" i="15"/>
  <c r="F119" i="15"/>
  <c r="D120" i="15"/>
  <c r="F120" i="15"/>
  <c r="D121" i="15"/>
  <c r="C27" i="15"/>
  <c r="E121" i="15"/>
  <c r="F121" i="15"/>
  <c r="C36" i="15"/>
  <c r="D122" i="15"/>
  <c r="E122" i="15"/>
  <c r="F122" i="15"/>
  <c r="D123" i="15"/>
  <c r="F123" i="15"/>
  <c r="G116" i="15"/>
  <c r="E113" i="15"/>
  <c r="D113" i="15"/>
  <c r="D114" i="15"/>
  <c r="F113" i="15"/>
  <c r="F114" i="15"/>
  <c r="D115" i="15"/>
  <c r="F115" i="15"/>
  <c r="G112" i="15"/>
  <c r="H110" i="15"/>
  <c r="C170" i="15"/>
  <c r="C162" i="15"/>
  <c r="C166" i="15"/>
  <c r="F164" i="15"/>
  <c r="H164" i="15"/>
  <c r="G164" i="15"/>
  <c r="J164" i="15"/>
  <c r="I164" i="15"/>
  <c r="C171" i="15"/>
  <c r="C26" i="15"/>
  <c r="C23" i="15"/>
  <c r="E30" i="15"/>
  <c r="G30" i="15"/>
  <c r="G29" i="15"/>
  <c r="G27" i="15"/>
  <c r="E29" i="15"/>
  <c r="E28" i="15"/>
  <c r="K112" i="15"/>
  <c r="K123" i="15"/>
  <c r="K113" i="15"/>
  <c r="K124" i="15"/>
  <c r="K125" i="15"/>
  <c r="J113" i="15"/>
  <c r="J124" i="15"/>
  <c r="J112" i="15"/>
  <c r="J123" i="15"/>
  <c r="K156" i="15"/>
  <c r="K157" i="15"/>
  <c r="F165" i="15"/>
  <c r="H165" i="15"/>
  <c r="G165" i="15"/>
  <c r="J165" i="15"/>
  <c r="F166" i="15"/>
  <c r="H166" i="15"/>
  <c r="G166" i="15"/>
  <c r="J166" i="15"/>
  <c r="F167" i="15"/>
  <c r="H167" i="15"/>
  <c r="G167" i="15"/>
  <c r="J167" i="15"/>
  <c r="F168" i="15"/>
  <c r="H168" i="15"/>
  <c r="G168" i="15"/>
  <c r="J168" i="15"/>
  <c r="F163" i="15"/>
  <c r="J163" i="15"/>
  <c r="K163" i="15"/>
  <c r="I165" i="15"/>
  <c r="I166" i="15"/>
  <c r="I167" i="15"/>
  <c r="I168" i="15"/>
  <c r="J121" i="15"/>
  <c r="K121" i="15"/>
  <c r="J118" i="15"/>
  <c r="K118" i="15"/>
  <c r="J116" i="15"/>
  <c r="K116" i="15"/>
  <c r="J117" i="15"/>
  <c r="K117" i="15"/>
  <c r="J119" i="15"/>
  <c r="K119" i="15"/>
  <c r="J114" i="15"/>
  <c r="K114" i="15"/>
  <c r="J115" i="15"/>
  <c r="K115" i="15"/>
  <c r="J120" i="15"/>
  <c r="K120" i="15"/>
  <c r="K147" i="15"/>
  <c r="K151" i="15"/>
  <c r="K153" i="15"/>
  <c r="K150" i="15"/>
  <c r="K152" i="15"/>
  <c r="K148" i="15"/>
  <c r="K149" i="15"/>
  <c r="K154" i="15"/>
  <c r="J134" i="15"/>
  <c r="K134" i="15"/>
  <c r="J138" i="15"/>
  <c r="K138" i="15"/>
  <c r="J132" i="15"/>
  <c r="K132" i="15"/>
  <c r="J133" i="15"/>
  <c r="K133" i="15"/>
  <c r="J130" i="15"/>
  <c r="K130" i="15"/>
  <c r="J131" i="15"/>
  <c r="K131" i="15"/>
  <c r="J136" i="15"/>
  <c r="K136" i="15"/>
  <c r="J137" i="15"/>
  <c r="K137" i="15"/>
  <c r="J135" i="15"/>
  <c r="K135" i="15"/>
  <c r="J129" i="15"/>
  <c r="K129" i="15"/>
  <c r="H148" i="15"/>
  <c r="H147" i="15"/>
  <c r="H146" i="15"/>
  <c r="H127" i="15"/>
  <c r="C83" i="15"/>
  <c r="C7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Bogen</author>
  </authors>
  <commentList>
    <comment ref="E129" authorId="0" shapeId="0" xr:uid="{00000000-0006-0000-0100-000001000000}">
      <text>
        <r>
          <rPr>
            <b/>
            <sz val="9"/>
            <color indexed="81"/>
            <rFont val="Tahoma"/>
            <family val="2"/>
          </rPr>
          <t>Michelle Bogen:</t>
        </r>
        <r>
          <rPr>
            <sz val="9"/>
            <color indexed="81"/>
            <rFont val="Tahoma"/>
            <family val="2"/>
          </rPr>
          <t xml:space="preserve">
BLS Occupation Code 51-9061</t>
        </r>
      </text>
    </comment>
    <comment ref="E130" authorId="0" shapeId="0" xr:uid="{00000000-0006-0000-0100-000002000000}">
      <text>
        <r>
          <rPr>
            <b/>
            <sz val="9"/>
            <color indexed="81"/>
            <rFont val="Tahoma"/>
            <family val="2"/>
          </rPr>
          <t>Michelle Bogen:</t>
        </r>
        <r>
          <rPr>
            <sz val="9"/>
            <color indexed="81"/>
            <rFont val="Tahoma"/>
            <family val="2"/>
          </rPr>
          <t xml:space="preserve">
BLS Occupational Code 53-7051 (Industrial Truck and Tractor Operators)</t>
        </r>
      </text>
    </comment>
    <comment ref="E131" authorId="0" shapeId="0" xr:uid="{00000000-0006-0000-0100-000003000000}">
      <text>
        <r>
          <rPr>
            <b/>
            <sz val="9"/>
            <color indexed="81"/>
            <rFont val="Tahoma"/>
            <family val="2"/>
          </rPr>
          <t>Michelle Bogen:</t>
        </r>
        <r>
          <rPr>
            <sz val="9"/>
            <color indexed="81"/>
            <rFont val="Tahoma"/>
            <family val="2"/>
          </rPr>
          <t xml:space="preserve">
BLS Occupational Code 53-3033 (Light Truck or Delivery Services Drivers)</t>
        </r>
      </text>
    </comment>
    <comment ref="E132" authorId="0" shapeId="0" xr:uid="{00000000-0006-0000-0100-000004000000}">
      <text>
        <r>
          <rPr>
            <b/>
            <sz val="9"/>
            <color indexed="81"/>
            <rFont val="Tahoma"/>
            <family val="2"/>
          </rPr>
          <t>Michelle Bogen:</t>
        </r>
        <r>
          <rPr>
            <sz val="9"/>
            <color indexed="81"/>
            <rFont val="Tahoma"/>
            <family val="2"/>
          </rPr>
          <t xml:space="preserve">
BLS Occupational Code 51-1011 (First-Line Supervisors of Production and Operating Workers)</t>
        </r>
      </text>
    </comment>
    <comment ref="E133" authorId="0" shapeId="0" xr:uid="{00000000-0006-0000-0100-000005000000}">
      <text>
        <r>
          <rPr>
            <b/>
            <sz val="9"/>
            <color indexed="81"/>
            <rFont val="Tahoma"/>
            <family val="2"/>
          </rPr>
          <t>Michelle Bogen:</t>
        </r>
        <r>
          <rPr>
            <sz val="9"/>
            <color indexed="81"/>
            <rFont val="Tahoma"/>
            <family val="2"/>
          </rPr>
          <t xml:space="preserve">
BLS Occupational Code 11-1011</t>
        </r>
      </text>
    </comment>
    <comment ref="E134" authorId="0" shapeId="0" xr:uid="{00000000-0006-0000-0100-000006000000}">
      <text>
        <r>
          <rPr>
            <b/>
            <sz val="9"/>
            <color indexed="81"/>
            <rFont val="Tahoma"/>
            <family val="2"/>
          </rPr>
          <t>Michelle Bogen:</t>
        </r>
        <r>
          <rPr>
            <sz val="9"/>
            <color indexed="81"/>
            <rFont val="Tahoma"/>
            <family val="2"/>
          </rPr>
          <t xml:space="preserve">
BLS Occupational Code 17-2071</t>
        </r>
      </text>
    </comment>
    <comment ref="E135" authorId="0" shapeId="0" xr:uid="{00000000-0006-0000-0100-000007000000}">
      <text>
        <r>
          <rPr>
            <b/>
            <sz val="9"/>
            <color indexed="81"/>
            <rFont val="Tahoma"/>
            <family val="2"/>
          </rPr>
          <t>Michelle Bogen:</t>
        </r>
        <r>
          <rPr>
            <sz val="9"/>
            <color indexed="81"/>
            <rFont val="Tahoma"/>
            <family val="2"/>
          </rPr>
          <t xml:space="preserve">
BLS Occupational Code 41-4011 (Sales Representatives, Wholesale and Manufacturing, Technical and Scientific Products)</t>
        </r>
      </text>
    </comment>
    <comment ref="E136" authorId="0" shapeId="0" xr:uid="{00000000-0006-0000-0100-000008000000}">
      <text>
        <r>
          <rPr>
            <b/>
            <sz val="9"/>
            <color indexed="81"/>
            <rFont val="Tahoma"/>
            <family val="2"/>
          </rPr>
          <t>Michelle Bogen:</t>
        </r>
        <r>
          <rPr>
            <sz val="9"/>
            <color indexed="81"/>
            <rFont val="Tahoma"/>
            <family val="2"/>
          </rPr>
          <t xml:space="preserve">
BLS Occupational Code 43-6014 Secretaries and Administrative Assistants, Except Legal, Medical, and Executive</t>
        </r>
      </text>
    </comment>
    <comment ref="E137" authorId="0" shapeId="0" xr:uid="{00000000-0006-0000-0100-000009000000}">
      <text>
        <r>
          <rPr>
            <b/>
            <sz val="9"/>
            <color indexed="81"/>
            <rFont val="Tahoma"/>
            <family val="2"/>
          </rPr>
          <t>Michelle Bogen:</t>
        </r>
        <r>
          <rPr>
            <sz val="9"/>
            <color indexed="81"/>
            <rFont val="Tahoma"/>
            <family val="2"/>
          </rPr>
          <t xml:space="preserve">
BLS Occupational Code 33-9032</t>
        </r>
      </text>
    </comment>
    <comment ref="E138" authorId="0" shapeId="0" xr:uid="{00000000-0006-0000-0100-00000A000000}">
      <text>
        <r>
          <rPr>
            <b/>
            <sz val="9"/>
            <color indexed="81"/>
            <rFont val="Tahoma"/>
            <family val="2"/>
          </rPr>
          <t>Michelle Bogen:</t>
        </r>
        <r>
          <rPr>
            <sz val="9"/>
            <color indexed="81"/>
            <rFont val="Tahoma"/>
            <family val="2"/>
          </rPr>
          <t xml:space="preserve">
BLS Occupational Code 11-3121</t>
        </r>
      </text>
    </comment>
    <comment ref="E139" authorId="0" shapeId="0" xr:uid="{00000000-0006-0000-0100-00000B000000}">
      <text>
        <r>
          <rPr>
            <b/>
            <sz val="9"/>
            <color indexed="81"/>
            <rFont val="Tahoma"/>
            <family val="2"/>
          </rPr>
          <t>Michelle Bogen:</t>
        </r>
        <r>
          <rPr>
            <sz val="9"/>
            <color indexed="81"/>
            <rFont val="Tahoma"/>
            <family val="2"/>
          </rPr>
          <t xml:space="preserve">
BLS Occupational Code 11-1021 (General and Operations Managers)</t>
        </r>
      </text>
    </comment>
    <comment ref="E140" authorId="0" shapeId="0" xr:uid="{00000000-0006-0000-0100-00000C000000}">
      <text>
        <r>
          <rPr>
            <b/>
            <sz val="9"/>
            <color indexed="81"/>
            <rFont val="Tahoma"/>
            <family val="2"/>
          </rPr>
          <t>Michelle Bogen:</t>
        </r>
        <r>
          <rPr>
            <sz val="9"/>
            <color indexed="81"/>
            <rFont val="Tahoma"/>
            <family val="2"/>
          </rPr>
          <t xml:space="preserve">
BLS Occupational Code 37-2011 (Janitors and Cleaners, Except Maids and Housekeeping Cleaners)</t>
        </r>
      </text>
    </comment>
  </commentList>
</comments>
</file>

<file path=xl/sharedStrings.xml><?xml version="1.0" encoding="utf-8"?>
<sst xmlns="http://schemas.openxmlformats.org/spreadsheetml/2006/main" count="278" uniqueCount="206">
  <si>
    <t>Year</t>
  </si>
  <si>
    <t>kWh</t>
  </si>
  <si>
    <t>$</t>
  </si>
  <si>
    <t>hrs</t>
  </si>
  <si>
    <t>Wh/kg</t>
  </si>
  <si>
    <t>Wh/L</t>
  </si>
  <si>
    <t>Module Nameplate Energy Density</t>
  </si>
  <si>
    <t>Module Nameplate Specific Energy</t>
  </si>
  <si>
    <t>Percent Remaining Energy @ time of repurposing</t>
  </si>
  <si>
    <t>Module Mass</t>
  </si>
  <si>
    <t>kg</t>
  </si>
  <si>
    <t>Module Volume</t>
  </si>
  <si>
    <t>cm^3</t>
  </si>
  <si>
    <t xml:space="preserve">  Module X</t>
  </si>
  <si>
    <t>cm</t>
  </si>
  <si>
    <t>ft</t>
  </si>
  <si>
    <t xml:space="preserve">  Module Y</t>
  </si>
  <si>
    <t xml:space="preserve">  Module Z</t>
  </si>
  <si>
    <t xml:space="preserve">  Module Footprint</t>
  </si>
  <si>
    <t>cm^2</t>
  </si>
  <si>
    <t>ft^2</t>
  </si>
  <si>
    <t>Approx Remaining Energy @ time of repurposing</t>
  </si>
  <si>
    <t>Number of Cells in Module</t>
  </si>
  <si>
    <t>Facility Throughput</t>
  </si>
  <si>
    <t xml:space="preserve">Facility nameplate annual throughput </t>
  </si>
  <si>
    <t>kWh/year</t>
  </si>
  <si>
    <t>Modules per year throughput</t>
  </si>
  <si>
    <t>Modules per day throughput</t>
  </si>
  <si>
    <t>Transportation</t>
  </si>
  <si>
    <t>Collection Scale</t>
  </si>
  <si>
    <t>Regional</t>
  </si>
  <si>
    <t>Typical Round Trip Collection Distance</t>
  </si>
  <si>
    <t>mi</t>
  </si>
  <si>
    <t>Typical Round Trip Collection Time</t>
  </si>
  <si>
    <t>Truck Type</t>
  </si>
  <si>
    <t>Truck Purchase Cost</t>
  </si>
  <si>
    <t>Truck Operational Cost</t>
  </si>
  <si>
    <t>$/mi</t>
  </si>
  <si>
    <t>Truck Cargo Volume</t>
  </si>
  <si>
    <t>Truck Cargo Mass</t>
  </si>
  <si>
    <t>Truck Module Capacity</t>
  </si>
  <si>
    <t>Trips per Year</t>
  </si>
  <si>
    <t>Total Collection Time</t>
  </si>
  <si>
    <t>Number of Trucks &amp; Drivers</t>
  </si>
  <si>
    <t>Total Miles Travelled per Year</t>
  </si>
  <si>
    <t>Shipping Containers</t>
  </si>
  <si>
    <t>Shipping Container Cost</t>
  </si>
  <si>
    <t>Module Handling &amp; Testing Time</t>
  </si>
  <si>
    <t>Receiving Inspection &amp; Handling</t>
  </si>
  <si>
    <t>minutes</t>
  </si>
  <si>
    <t>Connection to &amp; Initiation of Electrical Test Equipment</t>
  </si>
  <si>
    <t>Electrical Testing</t>
  </si>
  <si>
    <t xml:space="preserve">  Time Spent Charging</t>
  </si>
  <si>
    <t xml:space="preserve">  Average C-Rate for Charging</t>
  </si>
  <si>
    <t xml:space="preserve">  Annual Electricity for Testing</t>
  </si>
  <si>
    <t>Disconnection from Electrical Test Equipment</t>
  </si>
  <si>
    <t>Final Inspection and Packaging</t>
  </si>
  <si>
    <t>Total Technician Handling Time</t>
  </si>
  <si>
    <t>Modules per Technician per Year</t>
  </si>
  <si>
    <t>Receiving Pallets Moved per Day</t>
  </si>
  <si>
    <t>Time to Load and Move 1 Pallet</t>
  </si>
  <si>
    <t>Fork Lift Operator Time per Day</t>
  </si>
  <si>
    <t>hours</t>
  </si>
  <si>
    <t>Staff</t>
  </si>
  <si>
    <t>Number of Technicians</t>
  </si>
  <si>
    <t>Number of Forklift Operators</t>
  </si>
  <si>
    <t>Number of Truck Drivers</t>
  </si>
  <si>
    <t>Number of Supervisors</t>
  </si>
  <si>
    <t>Number of Sales Managers</t>
  </si>
  <si>
    <t>Number of Electrical Engineers</t>
  </si>
  <si>
    <t>Number of Operations Managers</t>
  </si>
  <si>
    <t>Number of Chief Executives</t>
  </si>
  <si>
    <t>Number of Administrative Assistants</t>
  </si>
  <si>
    <t>Number of Human Resources Personnel</t>
  </si>
  <si>
    <t>Number of Employees Onsite</t>
  </si>
  <si>
    <t>Facility Size</t>
  </si>
  <si>
    <t>Inspection, Test, and Packing</t>
  </si>
  <si>
    <t>Width+ Depth for Employee</t>
  </si>
  <si>
    <t>Width of Forklift</t>
  </si>
  <si>
    <t>Width of Hallway</t>
  </si>
  <si>
    <t>Number of Inspection Stations</t>
  </si>
  <si>
    <t>No.</t>
  </si>
  <si>
    <t>Number of Electrical Test Stations, Test Channels, CAN cards</t>
  </si>
  <si>
    <t>Number of Packing Stations</t>
  </si>
  <si>
    <t>Station Width</t>
  </si>
  <si>
    <t>Station Length</t>
  </si>
  <si>
    <t>Station Footprint</t>
  </si>
  <si>
    <t>Conveyer Width</t>
  </si>
  <si>
    <t>Conveyer Length</t>
  </si>
  <si>
    <t>Total Floor Width</t>
  </si>
  <si>
    <t>Total Floor Space</t>
  </si>
  <si>
    <t>Docks and Storage</t>
  </si>
  <si>
    <t>Floor Length for Forklift Maneuvering</t>
  </si>
  <si>
    <t>Incoming (Outgoing) Modules to Store</t>
  </si>
  <si>
    <t>Stack Height of Storage Rack</t>
  </si>
  <si>
    <t>Pallet Width</t>
  </si>
  <si>
    <t>Pallet Length</t>
  </si>
  <si>
    <t>Pallet Height</t>
  </si>
  <si>
    <t>Modules per Pallet</t>
  </si>
  <si>
    <t>Pallets per Rack</t>
  </si>
  <si>
    <t>Modules per Rack</t>
  </si>
  <si>
    <t>Number of Racks that can fit in width of facility</t>
  </si>
  <si>
    <t>Number of Recieving (Shipping) Racks Required</t>
  </si>
  <si>
    <t>Rows of Receiving (Shipping) Racks</t>
  </si>
  <si>
    <t>Total Number of Racks Required</t>
  </si>
  <si>
    <t>Total Floor Length for Racks</t>
  </si>
  <si>
    <t>Total Surface Area of Docks and Storage</t>
  </si>
  <si>
    <t>Offices, Etc.</t>
  </si>
  <si>
    <t>Total Length of Hallway</t>
  </si>
  <si>
    <t>Length of Offices, Restrooms</t>
  </si>
  <si>
    <t>No. of Offices</t>
  </si>
  <si>
    <t>Width of Office</t>
  </si>
  <si>
    <t>Total Width of Offices</t>
  </si>
  <si>
    <t>Surface Area of Restrooms</t>
  </si>
  <si>
    <t>Total Width of Restrooms</t>
  </si>
  <si>
    <t>Surface Area of Breakroom</t>
  </si>
  <si>
    <t>Surface Area of Workshop</t>
  </si>
  <si>
    <t>Total Surface Area of Offices, Etc.</t>
  </si>
  <si>
    <t>Capital Costs</t>
  </si>
  <si>
    <t>Category</t>
  </si>
  <si>
    <t>Description</t>
  </si>
  <si>
    <t>Qty</t>
  </si>
  <si>
    <t>Unit Cost</t>
  </si>
  <si>
    <t>Item Cost</t>
  </si>
  <si>
    <t>Total Cost</t>
  </si>
  <si>
    <t>Test Equipment</t>
  </si>
  <si>
    <t>Battery Test Channels</t>
  </si>
  <si>
    <t>CAN hardware</t>
  </si>
  <si>
    <t>Computers</t>
  </si>
  <si>
    <t>Materials Handling</t>
  </si>
  <si>
    <t>Conveyors</t>
  </si>
  <si>
    <t>Storage Racks</t>
  </si>
  <si>
    <t>Forklift</t>
  </si>
  <si>
    <t>MD Truck</t>
  </si>
  <si>
    <t>Work Stations</t>
  </si>
  <si>
    <t>Office &amp; Other</t>
  </si>
  <si>
    <t>Employment Costs</t>
  </si>
  <si>
    <t>Wages</t>
  </si>
  <si>
    <t>Test Technicians</t>
  </si>
  <si>
    <t>Chief Executive</t>
  </si>
  <si>
    <t>Security Guards</t>
  </si>
  <si>
    <t>Operations Manager</t>
  </si>
  <si>
    <t>Non-Wage Compensation</t>
  </si>
  <si>
    <t>Total Annual Expenses</t>
  </si>
  <si>
    <t>Direct Costs</t>
  </si>
  <si>
    <t>Battery Modules</t>
  </si>
  <si>
    <t>Pack Materials</t>
  </si>
  <si>
    <t>Battery Purchases</t>
  </si>
  <si>
    <t>Labor</t>
  </si>
  <si>
    <t>Rent</t>
  </si>
  <si>
    <t>Warranty</t>
  </si>
  <si>
    <t>G&amp;A</t>
  </si>
  <si>
    <t>Insurance</t>
  </si>
  <si>
    <t>Other Direct Costs</t>
  </si>
  <si>
    <t>Other</t>
  </si>
  <si>
    <t>Indirect Costs</t>
  </si>
  <si>
    <t>R&amp;D</t>
  </si>
  <si>
    <t>Required Revenue</t>
  </si>
  <si>
    <t>CT-Forced Battery Selling Price</t>
  </si>
  <si>
    <t>per module</t>
  </si>
  <si>
    <t>Federal Tax Rate</t>
  </si>
  <si>
    <t>Expenses</t>
  </si>
  <si>
    <t>Taxes</t>
  </si>
  <si>
    <t>Revenue</t>
  </si>
  <si>
    <t>Annual NPV</t>
  </si>
  <si>
    <t>Total NPV</t>
  </si>
  <si>
    <t>State Tax Rate</t>
  </si>
  <si>
    <t>Annual Revenue</t>
  </si>
  <si>
    <t>Yield (on modules)</t>
  </si>
  <si>
    <t>Comp. Tech. Forced Selling Price ($/kWh)</t>
  </si>
  <si>
    <t>Technician Supervisors</t>
  </si>
  <si>
    <t>Forklift Drivers</t>
  </si>
  <si>
    <t>Truck Drivers</t>
  </si>
  <si>
    <t>Electrical Engineers</t>
  </si>
  <si>
    <t>Sales/Logistics Reps</t>
  </si>
  <si>
    <t>Administrative Assistants</t>
  </si>
  <si>
    <t>Electricity</t>
  </si>
  <si>
    <t>Annual Profit</t>
  </si>
  <si>
    <t>Upfront Battery Purchases</t>
  </si>
  <si>
    <t>Local</t>
  </si>
  <si>
    <t>National</t>
  </si>
  <si>
    <t>Human Resources Manager</t>
  </si>
  <si>
    <t>Class 8 with 48' trailer</t>
  </si>
  <si>
    <t>24' Box Truck</t>
  </si>
  <si>
    <t>Cell Fault Rate</t>
  </si>
  <si>
    <t>Discount Rate</t>
  </si>
  <si>
    <t>Module Nameplate Energy</t>
  </si>
  <si>
    <t>Janitors</t>
  </si>
  <si>
    <t>Electricity: Testing (kWh)</t>
  </si>
  <si>
    <t>Electricity: HVAC &amp; Lighting (kWh)</t>
  </si>
  <si>
    <t>Module Properties</t>
  </si>
  <si>
    <t>Module Buying Price ($/kWh-nameplate)</t>
  </si>
  <si>
    <t>Effective Repurposing Cost ($/kWh-nameplate)</t>
  </si>
  <si>
    <t>Buying Price and Repurposing Cost</t>
  </si>
  <si>
    <t>Number of Security Guards</t>
  </si>
  <si>
    <t>Number of Janitors</t>
  </si>
  <si>
    <t>SOFTWARE USE AGREEMENT</t>
  </si>
  <si>
    <t>The user agrees to credit DOE/NREL/ALLIANCE in any publication that results from the use of this Software.  The names DOE/NREL/ALLIANCE, however, may not be used in any advertising or publicity to endorse or promote any products or commercial entities unless specific written permission is obtained from DOE/NREL/ ALLIANCE.  The user also understands that DOE/NREL/ALLIANCE is not obligated to provide the user with any support, consulting, training or assistance of any kind with regard to the use of the Software or to provide the user with any updates, revisions or new versions of the Software.</t>
  </si>
  <si>
    <t>USER AGREES TO INDEMNIFY DOE/NREL/ALLIANCE AND ITS SUBSIDIARIES, AFFILIATES, OFFICERS, AGENTS, AND EMPLOYEES AGAINST ANY CLAIM OR DEMAND, INCLUDING REASONABLE ATTORNEYS' FEES, RELATED TO USER’S USE OF THE SOFTWARE.  THE SOFTWARE IS PROVIDED BY DOE/NREL/ALLIANCE "AS IS," AND ANY EXPRESS OR IMPLIED WARRANTIES, INCLUDING BUT NOT LIMITED TO THE IMPLIED WARRANTIES OF MERCHANTABILITY AND FITNESS FOR A PARTICULAR PURPOSE ARE DISCLAIMED.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SOFTWARE.</t>
  </si>
  <si>
    <t xml:space="preserve">Results generated by use of this Software are dependent on many variables, including the quality of the data entered by the user and any assumptions made by the user in relation to data inputs.  Accordingly, DOE, NREL, and ALLIANCE cannot guarantee any results generated by use of the Software and user is entirely responsible for the results and any reliance on the results.  User shall not claim that DOE/NREL/ALLIANCE authenticate or otherwise agree with the results generated by the Software.   </t>
  </si>
  <si>
    <t>Access to the Repurposing Cost Calculator (“Software”) is provided by the National Renewable Energy Laboratory (“NREL”), which is operated by Alliance for Sustainable Energy, LLC (“ALLIANCE”), for the U.S. Department of Energy (“DOE”).</t>
  </si>
  <si>
    <t>DISCLAIMER</t>
  </si>
  <si>
    <t>The National Renewable Energy Laboratory (NREL) is operated for the U.S. Department of Energy (DOE) by Alliance for Sustainable Energy, LLC ("Alliance").</t>
  </si>
  <si>
    <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t>
  </si>
  <si>
    <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t>
  </si>
  <si>
    <t>Access to and use of this Software shall impose the following obligations on the user, and use of the Software constitutes user’s agreement to these terms. The Software is being provided, without any fee or cost, for internal purposes only and shall not be re-distributed.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</si>
</sst>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
    <numFmt numFmtId="168" formatCode="mmm\ dd\,\ yyyy"/>
    <numFmt numFmtId="169" formatCode="0.0000%"/>
  </numFmts>
  <fonts count="29"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4"/>
      <color theme="1"/>
      <name val="Calibri"/>
      <family val="2"/>
      <scheme val="minor"/>
    </font>
    <font>
      <b/>
      <sz val="13"/>
      <color theme="3"/>
      <name val="Calibri"/>
      <family val="2"/>
      <scheme val="minor"/>
    </font>
    <font>
      <sz val="11"/>
      <color rgb="FF3F3F76"/>
      <name val="Calibri"/>
      <family val="2"/>
      <scheme val="minor"/>
    </font>
    <font>
      <b/>
      <sz val="11"/>
      <color rgb="FFFA7D00"/>
      <name val="Calibri"/>
      <family val="2"/>
      <scheme val="minor"/>
    </font>
    <font>
      <sz val="10"/>
      <name val="Arial"/>
      <family val="2"/>
    </font>
    <font>
      <sz val="8"/>
      <name val="Helv"/>
    </font>
    <font>
      <sz val="1"/>
      <color indexed="8"/>
      <name val="Courier"/>
      <family val="3"/>
    </font>
    <font>
      <b/>
      <sz val="1"/>
      <color indexed="8"/>
      <name val="Courier"/>
      <family val="3"/>
    </font>
    <font>
      <b/>
      <sz val="10"/>
      <name val="Arial"/>
      <family val="2"/>
    </font>
    <font>
      <i/>
      <sz val="12"/>
      <color theme="1"/>
      <name val="Calibri"/>
      <family val="2"/>
      <scheme val="minor"/>
    </font>
    <font>
      <b/>
      <sz val="12"/>
      <color theme="1"/>
      <name val="Calibri"/>
      <family val="2"/>
      <scheme val="minor"/>
    </font>
    <font>
      <sz val="12"/>
      <color theme="1"/>
      <name val="Calibri"/>
      <family val="2"/>
      <scheme val="minor"/>
    </font>
    <font>
      <sz val="11"/>
      <color theme="0" tint="-0.249977111117893"/>
      <name val="Calibri"/>
      <family val="2"/>
      <scheme val="minor"/>
    </font>
    <font>
      <u/>
      <sz val="10"/>
      <color rgb="FF000000"/>
      <name val="Tahoma"/>
      <family val="2"/>
    </font>
    <font>
      <b/>
      <sz val="11"/>
      <color rgb="FFFF0000"/>
      <name val="Calibri"/>
      <family val="2"/>
      <scheme val="minor"/>
    </font>
    <font>
      <b/>
      <sz val="9"/>
      <color indexed="81"/>
      <name val="Tahoma"/>
      <family val="2"/>
    </font>
    <font>
      <sz val="9"/>
      <color indexed="81"/>
      <name val="Tahoma"/>
      <family val="2"/>
    </font>
    <font>
      <sz val="12"/>
      <name val="Courier New"/>
    </font>
    <font>
      <u/>
      <sz val="10.45"/>
      <color indexed="12"/>
      <name val="Courier New"/>
      <family val="3"/>
    </font>
    <font>
      <sz val="10"/>
      <color theme="1"/>
      <name val="Arial"/>
      <family val="2"/>
    </font>
    <font>
      <sz val="11"/>
      <color rgb="FF000000"/>
      <name val="Calibri"/>
      <family val="2"/>
    </font>
    <font>
      <u/>
      <sz val="10"/>
      <name val="Tahoma"/>
      <family val="2"/>
    </font>
    <font>
      <b/>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3" tint="0.79998168889431442"/>
        <bgColor indexed="64"/>
      </patternFill>
    </fill>
  </fills>
  <borders count="7">
    <border>
      <left/>
      <right/>
      <top/>
      <bottom/>
      <diagonal/>
    </border>
    <border>
      <left/>
      <right/>
      <top style="thin">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22"/>
      </bottom>
      <diagonal/>
    </border>
    <border>
      <left style="medium">
        <color auto="1"/>
      </left>
      <right/>
      <top style="thin">
        <color indexed="64"/>
      </top>
      <bottom style="thin">
        <color indexed="64"/>
      </bottom>
      <diagonal/>
    </border>
  </borders>
  <cellStyleXfs count="46">
    <xf numFmtId="0" fontId="0" fillId="0" borderId="0"/>
    <xf numFmtId="0" fontId="3"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9" fillId="5" borderId="3"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166" fontId="10" fillId="0" borderId="0"/>
    <xf numFmtId="3" fontId="11" fillId="0" borderId="5" applyFill="0">
      <alignment horizontal="right"/>
    </xf>
    <xf numFmtId="0" fontId="12" fillId="0" borderId="0">
      <protection locked="0"/>
    </xf>
    <xf numFmtId="167" fontId="12" fillId="0" borderId="0">
      <protection locked="0"/>
    </xf>
    <xf numFmtId="0" fontId="7" fillId="0" borderId="2" applyNumberFormat="0" applyFill="0" applyAlignment="0" applyProtection="0"/>
    <xf numFmtId="0" fontId="13" fillId="0" borderId="0">
      <protection locked="0"/>
    </xf>
    <xf numFmtId="0" fontId="13" fillId="0" borderId="0">
      <protection locked="0"/>
    </xf>
    <xf numFmtId="0" fontId="8" fillId="4" borderId="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10" fillId="0" borderId="0"/>
    <xf numFmtId="0" fontId="10" fillId="6" borderId="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2" borderId="0" applyProtection="0"/>
    <xf numFmtId="168" fontId="10" fillId="0" borderId="0" applyFill="0" applyBorder="0" applyAlignment="0" applyProtection="0">
      <alignment wrapText="1"/>
    </xf>
    <xf numFmtId="0" fontId="14" fillId="0" borderId="0" applyNumberFormat="0" applyFill="0" applyBorder="0">
      <alignment horizontal="center" wrapText="1"/>
    </xf>
    <xf numFmtId="0" fontId="14" fillId="0" borderId="0" applyNumberFormat="0" applyFill="0" applyBorder="0">
      <alignment horizontal="center" wrapText="1"/>
    </xf>
    <xf numFmtId="49" fontId="11" fillId="0" borderId="5" applyFill="0">
      <alignment horizontal="left"/>
    </xf>
    <xf numFmtId="0" fontId="23" fillId="0" borderId="0"/>
    <xf numFmtId="0" fontId="24" fillId="0" borderId="0" applyNumberFormat="0" applyFill="0" applyBorder="0" applyAlignment="0" applyProtection="0">
      <alignment vertical="top"/>
      <protection locked="0"/>
    </xf>
    <xf numFmtId="0" fontId="25" fillId="0" borderId="0"/>
    <xf numFmtId="43" fontId="25" fillId="0" borderId="0" applyFont="0" applyFill="0" applyBorder="0" applyAlignment="0" applyProtection="0"/>
  </cellStyleXfs>
  <cellXfs count="92">
    <xf numFmtId="0" fontId="0" fillId="0" borderId="0" xfId="0"/>
    <xf numFmtId="1" fontId="0" fillId="0" borderId="0" xfId="0" applyNumberFormat="1"/>
    <xf numFmtId="0" fontId="0" fillId="0" borderId="0" xfId="0" applyFill="1"/>
    <xf numFmtId="0" fontId="1" fillId="0" borderId="0" xfId="0" applyFont="1" applyFill="1"/>
    <xf numFmtId="0" fontId="0" fillId="0" borderId="0" xfId="0" applyAlignment="1">
      <alignment horizontal="right"/>
    </xf>
    <xf numFmtId="0" fontId="0" fillId="0" borderId="1" xfId="0" applyBorder="1"/>
    <xf numFmtId="0" fontId="0" fillId="0" borderId="0" xfId="0" applyFill="1" applyBorder="1"/>
    <xf numFmtId="2" fontId="0" fillId="0" borderId="0" xfId="0" applyNumberFormat="1"/>
    <xf numFmtId="165" fontId="0" fillId="0" borderId="0" xfId="0" applyNumberFormat="1"/>
    <xf numFmtId="0" fontId="0" fillId="0" borderId="0" xfId="0" applyBorder="1"/>
    <xf numFmtId="2" fontId="0" fillId="0" borderId="0" xfId="0" applyNumberFormat="1" applyBorder="1"/>
    <xf numFmtId="0" fontId="6" fillId="0" borderId="6" xfId="0" applyFont="1" applyBorder="1"/>
    <xf numFmtId="0" fontId="0" fillId="7" borderId="0" xfId="0" applyFill="1" applyBorder="1"/>
    <xf numFmtId="9" fontId="0" fillId="7" borderId="0" xfId="3" applyFont="1" applyFill="1"/>
    <xf numFmtId="165" fontId="0" fillId="0" borderId="0" xfId="0" applyNumberFormat="1" applyFill="1" applyBorder="1"/>
    <xf numFmtId="3" fontId="0" fillId="7" borderId="0" xfId="0" applyNumberFormat="1" applyFill="1" applyBorder="1"/>
    <xf numFmtId="0" fontId="0" fillId="0" borderId="0" xfId="0" applyBorder="1" applyAlignment="1">
      <alignment vertical="center" wrapText="1"/>
    </xf>
    <xf numFmtId="0" fontId="0" fillId="7" borderId="0" xfId="0" applyFill="1" applyBorder="1" applyAlignment="1">
      <alignment vertical="center" wrapText="1"/>
    </xf>
    <xf numFmtId="1" fontId="0" fillId="0" borderId="0" xfId="0" applyNumberFormat="1" applyBorder="1" applyAlignment="1">
      <alignment vertical="center" wrapText="1"/>
    </xf>
    <xf numFmtId="0" fontId="0" fillId="0" borderId="0" xfId="0" applyFill="1" applyBorder="1" applyAlignment="1">
      <alignment vertical="center" wrapText="1"/>
    </xf>
    <xf numFmtId="165" fontId="6" fillId="0" borderId="1" xfId="0" applyNumberFormat="1" applyFont="1" applyBorder="1"/>
    <xf numFmtId="0" fontId="6" fillId="0" borderId="1" xfId="0" applyFont="1" applyBorder="1"/>
    <xf numFmtId="0" fontId="15" fillId="0" borderId="0" xfId="0" applyFont="1" applyBorder="1" applyAlignment="1">
      <alignment horizontal="right"/>
    </xf>
    <xf numFmtId="0" fontId="0" fillId="0" borderId="0" xfId="0" applyFont="1" applyFill="1"/>
    <xf numFmtId="0" fontId="16" fillId="0" borderId="0" xfId="0" applyFont="1" applyBorder="1"/>
    <xf numFmtId="165" fontId="0" fillId="0" borderId="0" xfId="0" applyNumberFormat="1" applyFill="1"/>
    <xf numFmtId="0" fontId="17" fillId="0" borderId="0" xfId="0" applyFont="1" applyBorder="1"/>
    <xf numFmtId="0" fontId="0" fillId="0" borderId="0" xfId="0" applyFont="1" applyFill="1" applyBorder="1"/>
    <xf numFmtId="165" fontId="0" fillId="0" borderId="0" xfId="0" applyNumberFormat="1" applyFont="1" applyFill="1"/>
    <xf numFmtId="165" fontId="0" fillId="0" borderId="0" xfId="0" applyNumberFormat="1" applyFont="1" applyFill="1" applyBorder="1"/>
    <xf numFmtId="44" fontId="6" fillId="0" borderId="1" xfId="0" applyNumberFormat="1" applyFont="1" applyFill="1" applyBorder="1"/>
    <xf numFmtId="0" fontId="1" fillId="0" borderId="0" xfId="0" applyFont="1" applyBorder="1"/>
    <xf numFmtId="44" fontId="0" fillId="0" borderId="0" xfId="0" applyNumberFormat="1" applyBorder="1"/>
    <xf numFmtId="44" fontId="0" fillId="0" borderId="0" xfId="2" applyFont="1" applyFill="1" applyBorder="1"/>
    <xf numFmtId="44" fontId="0" fillId="0" borderId="0" xfId="2" applyFont="1" applyBorder="1"/>
    <xf numFmtId="0" fontId="18" fillId="0" borderId="0" xfId="0" applyFont="1" applyBorder="1"/>
    <xf numFmtId="0" fontId="3" fillId="0" borderId="1" xfId="1" applyBorder="1"/>
    <xf numFmtId="6" fontId="19" fillId="0" borderId="0" xfId="0" applyNumberFormat="1" applyFont="1" applyFill="1" applyBorder="1"/>
    <xf numFmtId="0" fontId="18" fillId="0" borderId="0" xfId="0" applyFont="1" applyFill="1" applyBorder="1"/>
    <xf numFmtId="44" fontId="18" fillId="0" borderId="0" xfId="2" applyFont="1" applyFill="1" applyBorder="1"/>
    <xf numFmtId="6" fontId="19" fillId="0" borderId="0" xfId="0" applyNumberFormat="1" applyFont="1" applyBorder="1"/>
    <xf numFmtId="44" fontId="1" fillId="3" borderId="0" xfId="2" applyFont="1" applyFill="1" applyBorder="1"/>
    <xf numFmtId="9" fontId="0" fillId="0" borderId="0" xfId="3" applyFont="1" applyBorder="1"/>
    <xf numFmtId="10" fontId="0" fillId="0" borderId="0" xfId="3" applyNumberFormat="1" applyFont="1" applyBorder="1"/>
    <xf numFmtId="0" fontId="0" fillId="0" borderId="1" xfId="0" applyFill="1" applyBorder="1"/>
    <xf numFmtId="164" fontId="0" fillId="0" borderId="0" xfId="2" applyNumberFormat="1" applyFont="1" applyFill="1" applyBorder="1"/>
    <xf numFmtId="9" fontId="0" fillId="0" borderId="0" xfId="0" applyNumberFormat="1" applyBorder="1"/>
    <xf numFmtId="0" fontId="6" fillId="0" borderId="0" xfId="0" applyFont="1" applyBorder="1"/>
    <xf numFmtId="0" fontId="1" fillId="0" borderId="0" xfId="0" applyFont="1" applyFill="1" applyBorder="1"/>
    <xf numFmtId="44" fontId="1" fillId="0" borderId="0" xfId="2" applyFont="1" applyFill="1" applyBorder="1"/>
    <xf numFmtId="0" fontId="20" fillId="0" borderId="0" xfId="0" applyFont="1" applyBorder="1"/>
    <xf numFmtId="3" fontId="1" fillId="0" borderId="0" xfId="0" applyNumberFormat="1" applyFont="1" applyFill="1"/>
    <xf numFmtId="0" fontId="0" fillId="0" borderId="0" xfId="0" applyFont="1"/>
    <xf numFmtId="10" fontId="1" fillId="0" borderId="0" xfId="3" applyNumberFormat="1" applyFont="1" applyFill="1" applyBorder="1"/>
    <xf numFmtId="44" fontId="1" fillId="0" borderId="0" xfId="0" applyNumberFormat="1" applyFont="1" applyFill="1" applyBorder="1"/>
    <xf numFmtId="44" fontId="20" fillId="0" borderId="0" xfId="0" applyNumberFormat="1" applyFont="1" applyBorder="1"/>
    <xf numFmtId="9" fontId="20" fillId="0" borderId="0" xfId="0" applyNumberFormat="1" applyFont="1" applyBorder="1"/>
    <xf numFmtId="10" fontId="0" fillId="0" borderId="0" xfId="0" applyNumberFormat="1" applyFill="1" applyBorder="1"/>
    <xf numFmtId="0" fontId="5" fillId="0" borderId="0" xfId="0" applyFont="1" applyBorder="1"/>
    <xf numFmtId="44" fontId="5" fillId="0" borderId="0" xfId="2" applyFont="1" applyBorder="1"/>
    <xf numFmtId="44" fontId="5" fillId="0" borderId="0" xfId="2" applyFont="1" applyFill="1" applyBorder="1"/>
    <xf numFmtId="44" fontId="0" fillId="0" borderId="0" xfId="2" applyFont="1" applyFill="1"/>
    <xf numFmtId="44" fontId="0" fillId="0" borderId="0" xfId="2" applyFont="1"/>
    <xf numFmtId="0" fontId="5" fillId="0" borderId="0" xfId="0" applyFont="1" applyBorder="1" applyAlignment="1">
      <alignment horizontal="left"/>
    </xf>
    <xf numFmtId="0" fontId="0" fillId="0" borderId="0" xfId="0" applyFill="1" applyAlignment="1">
      <alignment horizontal="right"/>
    </xf>
    <xf numFmtId="2" fontId="0" fillId="0" borderId="0" xfId="3" applyNumberFormat="1" applyFont="1"/>
    <xf numFmtId="0" fontId="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1" fontId="0" fillId="0" borderId="0" xfId="0" applyNumberFormat="1" applyFill="1"/>
    <xf numFmtId="0" fontId="0" fillId="7" borderId="1" xfId="0" applyFill="1" applyBorder="1"/>
    <xf numFmtId="0" fontId="0" fillId="7" borderId="0" xfId="0" applyFill="1" applyAlignment="1">
      <alignment horizontal="right"/>
    </xf>
    <xf numFmtId="0" fontId="0" fillId="7" borderId="0" xfId="0" applyFill="1"/>
    <xf numFmtId="1" fontId="0" fillId="7" borderId="0" xfId="0" applyNumberFormat="1" applyFill="1" applyBorder="1" applyAlignment="1">
      <alignment vertical="center" wrapText="1"/>
    </xf>
    <xf numFmtId="165" fontId="0" fillId="7" borderId="0" xfId="0" applyNumberFormat="1" applyFill="1"/>
    <xf numFmtId="0" fontId="0" fillId="7" borderId="0" xfId="0" applyFont="1" applyFill="1"/>
    <xf numFmtId="0" fontId="0" fillId="7" borderId="0" xfId="0" applyFont="1" applyFill="1" applyBorder="1"/>
    <xf numFmtId="44" fontId="0" fillId="7" borderId="0" xfId="2" applyFont="1" applyFill="1" applyBorder="1"/>
    <xf numFmtId="6" fontId="27" fillId="0" borderId="0" xfId="0" applyNumberFormat="1" applyFont="1" applyFill="1" applyBorder="1"/>
    <xf numFmtId="6" fontId="27" fillId="0" borderId="0" xfId="0" applyNumberFormat="1" applyFont="1" applyBorder="1"/>
    <xf numFmtId="166" fontId="0" fillId="7" borderId="0" xfId="3" applyNumberFormat="1" applyFont="1" applyFill="1" applyBorder="1"/>
    <xf numFmtId="9" fontId="0" fillId="7" borderId="0" xfId="3" applyFont="1" applyFill="1" applyBorder="1"/>
    <xf numFmtId="169" fontId="4" fillId="7" borderId="0" xfId="3" applyNumberFormat="1" applyFont="1" applyFill="1" applyBorder="1"/>
    <xf numFmtId="44" fontId="4" fillId="7" borderId="0" xfId="2" applyFont="1" applyFill="1" applyBorder="1"/>
    <xf numFmtId="44" fontId="4" fillId="0" borderId="0" xfId="2" applyFont="1" applyFill="1"/>
    <xf numFmtId="44" fontId="0" fillId="0" borderId="0" xfId="0" applyNumberFormat="1" applyFont="1" applyFill="1" applyBorder="1"/>
    <xf numFmtId="0" fontId="3" fillId="0" borderId="0" xfId="1" applyBorder="1"/>
    <xf numFmtId="0" fontId="5" fillId="0" borderId="0" xfId="0" applyFont="1" applyFill="1" applyBorder="1"/>
    <xf numFmtId="10" fontId="0" fillId="0" borderId="0" xfId="3" applyNumberFormat="1" applyFont="1" applyFill="1" applyBorder="1"/>
    <xf numFmtId="0" fontId="28"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cellXfs>
  <cellStyles count="46">
    <cellStyle name="Calculation 2" xfId="4" xr:uid="{00000000-0005-0000-0000-000000000000}"/>
    <cellStyle name="Comma 2" xfId="45" xr:uid="{00000000-0005-0000-0000-000001000000}"/>
    <cellStyle name="Currency" xfId="2" builtinId="4"/>
    <cellStyle name="Currency 2" xfId="5" xr:uid="{00000000-0005-0000-0000-000003000000}"/>
    <cellStyle name="Currency 3" xfId="6" xr:uid="{00000000-0005-0000-0000-000004000000}"/>
    <cellStyle name="Currency 4" xfId="7" xr:uid="{00000000-0005-0000-0000-000005000000}"/>
    <cellStyle name="Currency 4 2" xfId="8" xr:uid="{00000000-0005-0000-0000-000006000000}"/>
    <cellStyle name="Currency 5" xfId="9" xr:uid="{00000000-0005-0000-0000-000007000000}"/>
    <cellStyle name="cycGrade" xfId="10" xr:uid="{00000000-0005-0000-0000-000008000000}"/>
    <cellStyle name="Data" xfId="11" xr:uid="{00000000-0005-0000-0000-000009000000}"/>
    <cellStyle name="Date" xfId="12" xr:uid="{00000000-0005-0000-0000-00000A000000}"/>
    <cellStyle name="Fixed" xfId="13" xr:uid="{00000000-0005-0000-0000-00000B000000}"/>
    <cellStyle name="Heading 2 2" xfId="14" xr:uid="{00000000-0005-0000-0000-00000C000000}"/>
    <cellStyle name="Heading1" xfId="15" xr:uid="{00000000-0005-0000-0000-00000D000000}"/>
    <cellStyle name="Heading2" xfId="16" xr:uid="{00000000-0005-0000-0000-00000E000000}"/>
    <cellStyle name="Hyperlink" xfId="1" builtinId="8"/>
    <cellStyle name="Hyperlink 2" xfId="43" xr:uid="{00000000-0005-0000-0000-000010000000}"/>
    <cellStyle name="Input 2" xfId="17" xr:uid="{00000000-0005-0000-0000-000011000000}"/>
    <cellStyle name="Normal" xfId="0" builtinId="0"/>
    <cellStyle name="Normal 10" xfId="18" xr:uid="{00000000-0005-0000-0000-000013000000}"/>
    <cellStyle name="Normal 10 2" xfId="19" xr:uid="{00000000-0005-0000-0000-000014000000}"/>
    <cellStyle name="Normal 11" xfId="20" xr:uid="{00000000-0005-0000-0000-000015000000}"/>
    <cellStyle name="Normal 11 2" xfId="21" xr:uid="{00000000-0005-0000-0000-000016000000}"/>
    <cellStyle name="Normal 12" xfId="22" xr:uid="{00000000-0005-0000-0000-000017000000}"/>
    <cellStyle name="Normal 12 2" xfId="23" xr:uid="{00000000-0005-0000-0000-000018000000}"/>
    <cellStyle name="Normal 13" xfId="42" xr:uid="{00000000-0005-0000-0000-000019000000}"/>
    <cellStyle name="Normal 14" xfId="44" xr:uid="{00000000-0005-0000-0000-00001A000000}"/>
    <cellStyle name="Normal 2" xfId="24" xr:uid="{00000000-0005-0000-0000-00001B000000}"/>
    <cellStyle name="Normal 3" xfId="25" xr:uid="{00000000-0005-0000-0000-00001C000000}"/>
    <cellStyle name="Normal 4" xfId="26" xr:uid="{00000000-0005-0000-0000-00001D000000}"/>
    <cellStyle name="Normal 5" xfId="27" xr:uid="{00000000-0005-0000-0000-00001E000000}"/>
    <cellStyle name="Normal 6" xfId="28" xr:uid="{00000000-0005-0000-0000-00001F000000}"/>
    <cellStyle name="Normal 7" xfId="29" xr:uid="{00000000-0005-0000-0000-000020000000}"/>
    <cellStyle name="Normal 8" xfId="30" xr:uid="{00000000-0005-0000-0000-000021000000}"/>
    <cellStyle name="Normal 8 2" xfId="31" xr:uid="{00000000-0005-0000-0000-000022000000}"/>
    <cellStyle name="Normal 9" xfId="32" xr:uid="{00000000-0005-0000-0000-000023000000}"/>
    <cellStyle name="Note 2" xfId="33" xr:uid="{00000000-0005-0000-0000-000024000000}"/>
    <cellStyle name="Percent" xfId="3" builtinId="5"/>
    <cellStyle name="Percent 2" xfId="34" xr:uid="{00000000-0005-0000-0000-000026000000}"/>
    <cellStyle name="Percent 2 2" xfId="35" xr:uid="{00000000-0005-0000-0000-000027000000}"/>
    <cellStyle name="Percent 3" xfId="36" xr:uid="{00000000-0005-0000-0000-000028000000}"/>
    <cellStyle name="Run" xfId="37" xr:uid="{00000000-0005-0000-0000-000029000000}"/>
    <cellStyle name="Style 27" xfId="38" xr:uid="{00000000-0005-0000-0000-00002A000000}"/>
    <cellStyle name="Style 35" xfId="39" xr:uid="{00000000-0005-0000-0000-00002B000000}"/>
    <cellStyle name="Style 36" xfId="40" xr:uid="{00000000-0005-0000-0000-00002C000000}"/>
    <cellStyle name="Wrap" xfId="41"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microsoft.com/office/2006/relationships/vbaProject" Target="vbaProject.bin"/><Relationship Id="rId4" Type="http://schemas.openxmlformats.org/officeDocument/2006/relationships/externalLink" Target="externalLinks/externalLink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Labor Costs</a:t>
            </a:r>
          </a:p>
        </c:rich>
      </c:tx>
      <c:overlay val="0"/>
    </c:title>
    <c:autoTitleDeleted val="0"/>
    <c:view3D>
      <c:rotX val="75"/>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Repurposing!$J$129:$J$138</c:f>
              <c:strCache>
                <c:ptCount val="10"/>
                <c:pt idx="0">
                  <c:v>Test Technicians</c:v>
                </c:pt>
                <c:pt idx="1">
                  <c:v>Electrical Engineers</c:v>
                </c:pt>
                <c:pt idx="2">
                  <c:v>Sales/Logistics Reps</c:v>
                </c:pt>
                <c:pt idx="3">
                  <c:v>Technician Supervisors</c:v>
                </c:pt>
                <c:pt idx="4">
                  <c:v>Chief Executive</c:v>
                </c:pt>
                <c:pt idx="5">
                  <c:v>Forklift Drivers</c:v>
                </c:pt>
                <c:pt idx="6">
                  <c:v>Operations Manager</c:v>
                </c:pt>
                <c:pt idx="7">
                  <c:v>Administrative Assistants</c:v>
                </c:pt>
                <c:pt idx="8">
                  <c:v>Human Resources Manager</c:v>
                </c:pt>
                <c:pt idx="9">
                  <c:v>Truck Drivers</c:v>
                </c:pt>
              </c:strCache>
            </c:strRef>
          </c:cat>
          <c:val>
            <c:numRef>
              <c:f>Repurposing!$K$129:$K$138</c:f>
              <c:numCache>
                <c:formatCode>_("$"* #,##0.00_);_("$"* \(#,##0.00\);_("$"* "-"??_);_(@_)</c:formatCode>
                <c:ptCount val="10"/>
                <c:pt idx="0">
                  <c:v>7534140</c:v>
                </c:pt>
                <c:pt idx="1">
                  <c:v>933800</c:v>
                </c:pt>
                <c:pt idx="2">
                  <c:v>856100</c:v>
                </c:pt>
                <c:pt idx="3">
                  <c:v>1221150</c:v>
                </c:pt>
                <c:pt idx="4">
                  <c:v>178400</c:v>
                </c:pt>
                <c:pt idx="5">
                  <c:v>261280</c:v>
                </c:pt>
                <c:pt idx="6">
                  <c:v>116090</c:v>
                </c:pt>
                <c:pt idx="7">
                  <c:v>306000</c:v>
                </c:pt>
                <c:pt idx="8">
                  <c:v>806400</c:v>
                </c:pt>
                <c:pt idx="9">
                  <c:v>66980</c:v>
                </c:pt>
              </c:numCache>
            </c:numRef>
          </c:val>
          <c:extLst>
            <c:ext xmlns:c16="http://schemas.microsoft.com/office/drawing/2014/chart" uri="{C3380CC4-5D6E-409C-BE32-E72D297353CC}">
              <c16:uniqueId val="{00000000-1644-49B2-B2A6-0C51027ED319}"/>
            </c:ext>
          </c:extLst>
        </c:ser>
        <c:dLbls>
          <c:showLegendKey val="0"/>
          <c:showVal val="0"/>
          <c:showCatName val="0"/>
          <c:showSerName val="0"/>
          <c:showPercent val="1"/>
          <c:showBubbleSize val="0"/>
          <c:showLeaderLines val="1"/>
        </c:dLbls>
      </c:pie3DChart>
    </c:plotArea>
    <c:legend>
      <c:legendPos val="r"/>
      <c:layout>
        <c:manualLayout>
          <c:xMode val="edge"/>
          <c:yMode val="edge"/>
          <c:x val="0.59296493980767606"/>
          <c:y val="0.1838235458228093"/>
          <c:w val="0.38894995052701958"/>
          <c:h val="0.745615242403163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Capital Costs</a:t>
            </a:r>
          </a:p>
        </c:rich>
      </c:tx>
      <c:overlay val="0"/>
    </c:title>
    <c:autoTitleDeleted val="0"/>
    <c:view3D>
      <c:rotX val="75"/>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Repurposing!$J$112:$J$121</c:f>
              <c:strCache>
                <c:ptCount val="10"/>
                <c:pt idx="0">
                  <c:v>Upfront Battery Purchases</c:v>
                </c:pt>
                <c:pt idx="1">
                  <c:v>Battery Test Channels</c:v>
                </c:pt>
                <c:pt idx="2">
                  <c:v>MD Truck</c:v>
                </c:pt>
                <c:pt idx="3">
                  <c:v>Shipping Containers</c:v>
                </c:pt>
                <c:pt idx="4">
                  <c:v>Conveyors</c:v>
                </c:pt>
                <c:pt idx="5">
                  <c:v>Storage Racks</c:v>
                </c:pt>
                <c:pt idx="6">
                  <c:v>Computers</c:v>
                </c:pt>
                <c:pt idx="7">
                  <c:v>Forklift</c:v>
                </c:pt>
                <c:pt idx="8">
                  <c:v>Work Stations</c:v>
                </c:pt>
                <c:pt idx="9">
                  <c:v>CAN hardware</c:v>
                </c:pt>
              </c:strCache>
            </c:strRef>
          </c:cat>
          <c:val>
            <c:numRef>
              <c:f>Repurposing!$K$112:$K$121</c:f>
              <c:numCache>
                <c:formatCode>_("$"* #,##0.00_);_("$"* \(#,##0.00\);_("$"* "-"??_);_(@_)</c:formatCode>
                <c:ptCount val="10"/>
                <c:pt idx="0">
                  <c:v>1634980.4399524143</c:v>
                </c:pt>
                <c:pt idx="1">
                  <c:v>700000</c:v>
                </c:pt>
                <c:pt idx="2">
                  <c:v>282000</c:v>
                </c:pt>
                <c:pt idx="3">
                  <c:v>261000</c:v>
                </c:pt>
                <c:pt idx="4">
                  <c:v>28500</c:v>
                </c:pt>
                <c:pt idx="5">
                  <c:v>3200</c:v>
                </c:pt>
                <c:pt idx="6">
                  <c:v>27000</c:v>
                </c:pt>
                <c:pt idx="7">
                  <c:v>14000</c:v>
                </c:pt>
                <c:pt idx="8">
                  <c:v>38000</c:v>
                </c:pt>
                <c:pt idx="9">
                  <c:v>5600</c:v>
                </c:pt>
              </c:numCache>
            </c:numRef>
          </c:val>
          <c:extLst>
            <c:ext xmlns:c16="http://schemas.microsoft.com/office/drawing/2014/chart" uri="{C3380CC4-5D6E-409C-BE32-E72D297353CC}">
              <c16:uniqueId val="{00000000-4BAC-43A5-A846-0024D37A5544}"/>
            </c:ext>
          </c:extLst>
        </c:ser>
        <c:dLbls>
          <c:showLegendKey val="0"/>
          <c:showVal val="0"/>
          <c:showCatName val="0"/>
          <c:showSerName val="0"/>
          <c:showPercent val="1"/>
          <c:showBubbleSize val="0"/>
          <c:showLeaderLines val="1"/>
        </c:dLbls>
      </c:pie3DChart>
    </c:plotArea>
    <c:legend>
      <c:legendPos val="r"/>
      <c:layout>
        <c:manualLayout>
          <c:xMode val="edge"/>
          <c:yMode val="edge"/>
          <c:x val="0.59296493980767606"/>
          <c:y val="0.1838235458228093"/>
          <c:w val="0.38894995052701958"/>
          <c:h val="0.745615242403163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Annual Costs</a:t>
            </a:r>
          </a:p>
        </c:rich>
      </c:tx>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7.7125392352175082E-2"/>
          <c:y val="0.26110055090782619"/>
          <c:w val="0.56407190325844081"/>
          <c:h val="0.64302772394347341"/>
        </c:manualLayout>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Repurposing!$J$147:$J$154</c:f>
              <c:strCache>
                <c:ptCount val="8"/>
                <c:pt idx="0">
                  <c:v>Battery Purchases</c:v>
                </c:pt>
                <c:pt idx="1">
                  <c:v>Labor</c:v>
                </c:pt>
                <c:pt idx="2">
                  <c:v>Electricity</c:v>
                </c:pt>
                <c:pt idx="3">
                  <c:v>Warranty</c:v>
                </c:pt>
                <c:pt idx="4">
                  <c:v>G&amp;A</c:v>
                </c:pt>
                <c:pt idx="5">
                  <c:v>R&amp;D</c:v>
                </c:pt>
                <c:pt idx="6">
                  <c:v>Insurance</c:v>
                </c:pt>
                <c:pt idx="7">
                  <c:v>Other</c:v>
                </c:pt>
              </c:strCache>
            </c:strRef>
          </c:cat>
          <c:val>
            <c:numRef>
              <c:f>Repurposing!$K$147:$K$154</c:f>
              <c:numCache>
                <c:formatCode>_("$"* #,##0.00_);_("$"* \(#,##0.00\);_("$"* "-"??_);_(@_)</c:formatCode>
                <c:ptCount val="8"/>
                <c:pt idx="0">
                  <c:v>19619765.27942897</c:v>
                </c:pt>
                <c:pt idx="1">
                  <c:v>15989002.68</c:v>
                </c:pt>
                <c:pt idx="2">
                  <c:v>98328.5015717153</c:v>
                </c:pt>
                <c:pt idx="3">
                  <c:v>2192532.6643275088</c:v>
                </c:pt>
                <c:pt idx="4">
                  <c:v>1807991.3945985902</c:v>
                </c:pt>
                <c:pt idx="5">
                  <c:v>1084794.836759154</c:v>
                </c:pt>
                <c:pt idx="6">
                  <c:v>1084794.836759154</c:v>
                </c:pt>
                <c:pt idx="7">
                  <c:v>452731.43097111583</c:v>
                </c:pt>
              </c:numCache>
            </c:numRef>
          </c:val>
          <c:extLst>
            <c:ext xmlns:c16="http://schemas.microsoft.com/office/drawing/2014/chart" uri="{C3380CC4-5D6E-409C-BE32-E72D297353CC}">
              <c16:uniqueId val="{00000000-462D-4E6E-8AD6-A10FEC70058B}"/>
            </c:ext>
          </c:extLst>
        </c:ser>
        <c:dLbls>
          <c:showLegendKey val="0"/>
          <c:showVal val="0"/>
          <c:showCatName val="0"/>
          <c:showSerName val="0"/>
          <c:showPercent val="1"/>
          <c:showBubbleSize val="0"/>
          <c:showLeaderLines val="1"/>
        </c:dLbls>
      </c:pie3DChart>
    </c:plotArea>
    <c:legend>
      <c:legendPos val="r"/>
      <c:layout>
        <c:manualLayout>
          <c:xMode val="edge"/>
          <c:yMode val="edge"/>
          <c:x val="0.59296493980767606"/>
          <c:y val="0.1838235458228093"/>
          <c:w val="0.38894995052701958"/>
          <c:h val="0.7456152424031633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Capital Costs</a:t>
            </a:r>
          </a:p>
        </c:rich>
      </c:tx>
      <c:overlay val="0"/>
    </c:title>
    <c:autoTitleDeleted val="0"/>
    <c:view3D>
      <c:rotX val="75"/>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Repurposing!$J$123:$J$125</c:f>
              <c:strCache>
                <c:ptCount val="3"/>
                <c:pt idx="0">
                  <c:v>Upfront Battery Purchases</c:v>
                </c:pt>
                <c:pt idx="1">
                  <c:v>Battery Test Channels</c:v>
                </c:pt>
                <c:pt idx="2">
                  <c:v>Other</c:v>
                </c:pt>
              </c:strCache>
            </c:strRef>
          </c:cat>
          <c:val>
            <c:numRef>
              <c:f>Repurposing!$K$123:$K$125</c:f>
              <c:numCache>
                <c:formatCode>_("$"* #,##0.00_);_("$"* \(#,##0.00\);_("$"* "-"??_);_(@_)</c:formatCode>
                <c:ptCount val="3"/>
                <c:pt idx="0">
                  <c:v>1634980.4399524143</c:v>
                </c:pt>
                <c:pt idx="1">
                  <c:v>700000</c:v>
                </c:pt>
                <c:pt idx="2">
                  <c:v>759300</c:v>
                </c:pt>
              </c:numCache>
            </c:numRef>
          </c:val>
          <c:extLst>
            <c:ext xmlns:c16="http://schemas.microsoft.com/office/drawing/2014/chart" uri="{C3380CC4-5D6E-409C-BE32-E72D297353CC}">
              <c16:uniqueId val="{00000000-8F3B-4AB7-B0A7-0AFD896B1416}"/>
            </c:ext>
          </c:extLst>
        </c:ser>
        <c:dLbls>
          <c:showLegendKey val="0"/>
          <c:showVal val="0"/>
          <c:showCatName val="0"/>
          <c:showSerName val="0"/>
          <c:showPercent val="1"/>
          <c:showBubbleSize val="0"/>
          <c:showLeaderLines val="1"/>
        </c:dLbls>
      </c:pie3DChart>
      <c:spPr>
        <a:ln>
          <a:noFill/>
        </a:ln>
      </c:spPr>
    </c:plotArea>
    <c:legend>
      <c:legendPos val="r"/>
      <c:layout>
        <c:manualLayout>
          <c:xMode val="edge"/>
          <c:yMode val="edge"/>
          <c:x val="0.57186564519815419"/>
          <c:y val="0.27358320716886947"/>
          <c:w val="0.38894995052701958"/>
          <c:h val="0.62278623214013373"/>
        </c:manualLayou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450850</xdr:colOff>
          <xdr:row>169</xdr:row>
          <xdr:rowOff>177800</xdr:rowOff>
        </xdr:from>
        <xdr:to>
          <xdr:col>0</xdr:col>
          <xdr:colOff>1720850</xdr:colOff>
          <xdr:row>172</xdr:row>
          <xdr:rowOff>107950</xdr:rowOff>
        </xdr:to>
        <xdr:sp macro="" textlink="">
          <xdr:nvSpPr>
            <xdr:cNvPr id="16385" name="Button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Calculate Battery Buy Cost</a:t>
              </a:r>
            </a:p>
          </xdr:txBody>
        </xdr:sp>
        <xdr:clientData fPrintsWithSheet="0"/>
      </xdr:twoCellAnchor>
    </mc:Choice>
    <mc:Fallback/>
  </mc:AlternateContent>
  <xdr:twoCellAnchor>
    <xdr:from>
      <xdr:col>11</xdr:col>
      <xdr:colOff>597274</xdr:colOff>
      <xdr:row>126</xdr:row>
      <xdr:rowOff>156882</xdr:rowOff>
    </xdr:from>
    <xdr:to>
      <xdr:col>15</xdr:col>
      <xdr:colOff>855009</xdr:colOff>
      <xdr:row>140</xdr:row>
      <xdr:rowOff>178172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603437</xdr:colOff>
      <xdr:row>110</xdr:row>
      <xdr:rowOff>52668</xdr:rowOff>
    </xdr:from>
    <xdr:to>
      <xdr:col>15</xdr:col>
      <xdr:colOff>861172</xdr:colOff>
      <xdr:row>124</xdr:row>
      <xdr:rowOff>73958</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609601</xdr:colOff>
      <xdr:row>145</xdr:row>
      <xdr:rowOff>5603</xdr:rowOff>
    </xdr:from>
    <xdr:to>
      <xdr:col>15</xdr:col>
      <xdr:colOff>867336</xdr:colOff>
      <xdr:row>159</xdr:row>
      <xdr:rowOff>26893</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127188</xdr:colOff>
      <xdr:row>110</xdr:row>
      <xdr:rowOff>96931</xdr:rowOff>
    </xdr:from>
    <xdr:to>
      <xdr:col>22</xdr:col>
      <xdr:colOff>26334</xdr:colOff>
      <xdr:row>124</xdr:row>
      <xdr:rowOff>118221</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rivate/var/folders/uM/uM0RjeSRG40mJ2FhFIx7b++++TM/-Tmp-/com.apple.mail/compose/attach/server/SHARED/Consulting%20Services/1%20-%20Toolbox/2%20-%20EAS%20Tool%20Suite/Rate%20Tools/Rate%20Tool%20v3.0%20Bet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400/AVS_Group/Tasks/Energy_Storage/ESSE/Second%20Battery%20Use/NREL-CCSE%202U%20Project/Update%202011-08-02/Second%20Use%20Electric%20Vehicle%20Battery%20Forecast%20v%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400/Energy_Storage/FOA/FY13/RANGE/LiquidBatteries/Technical/Chem2Pack_2014_09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Cost Calcs. "/>
      <sheetName val="Grpahical Clcualtion"/>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Report"/>
      <sheetName val="Inputs"/>
      <sheetName val="Outputs"/>
      <sheetName val="Output_Graph"/>
      <sheetName val="Sheet1"/>
      <sheetName val="MonteCarlo_old"/>
      <sheetName val="Inputs_old"/>
      <sheetName val="Outputs_old"/>
      <sheetName val="Storage Resources_Power"/>
    </sheetNames>
    <sheetDataSet>
      <sheetData sheetId="0">
        <row r="14">
          <cell r="D14" t="str">
            <v>0e313635-7323-4950-a4ac-766c7cea831c</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rietary"/>
      <sheetName val="Compounds"/>
      <sheetName val="ChemCalcs"/>
      <sheetName val="PackCalcs"/>
      <sheetName val="SOA Comp"/>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election activeCell="A5" sqref="A5"/>
    </sheetView>
  </sheetViews>
  <sheetFormatPr defaultRowHeight="14.5" x14ac:dyDescent="0.35"/>
  <cols>
    <col min="1" max="1" width="107" customWidth="1"/>
  </cols>
  <sheetData>
    <row r="1" spans="1:1" x14ac:dyDescent="0.35">
      <c r="A1" s="88" t="s">
        <v>196</v>
      </c>
    </row>
    <row r="2" spans="1:1" x14ac:dyDescent="0.35">
      <c r="A2" s="89"/>
    </row>
    <row r="3" spans="1:1" ht="46.25" customHeight="1" x14ac:dyDescent="0.35">
      <c r="A3" s="90" t="s">
        <v>200</v>
      </c>
    </row>
    <row r="4" spans="1:1" s="91" customFormat="1" ht="69" customHeight="1" x14ac:dyDescent="0.35">
      <c r="A4" s="91" t="s">
        <v>205</v>
      </c>
    </row>
    <row r="5" spans="1:1" ht="92.4" customHeight="1" x14ac:dyDescent="0.35">
      <c r="A5" s="90" t="s">
        <v>197</v>
      </c>
    </row>
    <row r="6" spans="1:1" ht="135.65" customHeight="1" x14ac:dyDescent="0.35">
      <c r="A6" s="90" t="s">
        <v>198</v>
      </c>
    </row>
    <row r="7" spans="1:1" ht="71.400000000000006" customHeight="1" x14ac:dyDescent="0.35">
      <c r="A7" s="90" t="s">
        <v>199</v>
      </c>
    </row>
    <row r="9" spans="1:1" x14ac:dyDescent="0.35">
      <c r="A9" s="88" t="s">
        <v>201</v>
      </c>
    </row>
    <row r="11" spans="1:1" ht="46.25" customHeight="1" x14ac:dyDescent="0.35">
      <c r="A11" s="90" t="s">
        <v>202</v>
      </c>
    </row>
    <row r="12" spans="1:1" ht="139.25" customHeight="1" x14ac:dyDescent="0.35">
      <c r="A12" s="90" t="s">
        <v>203</v>
      </c>
    </row>
    <row r="13" spans="1:1" ht="161.4" customHeight="1" x14ac:dyDescent="0.35">
      <c r="A13" s="90"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AK173"/>
  <sheetViews>
    <sheetView zoomScale="80" zoomScaleNormal="80" workbookViewId="0">
      <selection activeCell="A7" sqref="A7"/>
    </sheetView>
  </sheetViews>
  <sheetFormatPr defaultColWidth="8.90625" defaultRowHeight="14.5" x14ac:dyDescent="0.35"/>
  <cols>
    <col min="1" max="1" width="32.54296875" customWidth="1"/>
    <col min="2" max="2" width="56.453125" bestFit="1" customWidth="1"/>
    <col min="3" max="3" width="30.54296875" customWidth="1"/>
    <col min="4" max="4" width="23.453125" customWidth="1"/>
    <col min="5" max="5" width="23.36328125" customWidth="1"/>
    <col min="6" max="6" width="18.453125" customWidth="1"/>
    <col min="7" max="7" width="20.36328125" customWidth="1"/>
    <col min="8" max="8" width="22.36328125" customWidth="1"/>
    <col min="9" max="10" width="19.54296875" customWidth="1"/>
    <col min="11" max="11" width="19.453125" bestFit="1" customWidth="1"/>
    <col min="12" max="13" width="14.08984375" customWidth="1"/>
    <col min="14" max="14" width="17" customWidth="1"/>
    <col min="15" max="18" width="14.08984375" customWidth="1"/>
    <col min="19" max="19" width="9.6328125" bestFit="1" customWidth="1"/>
  </cols>
  <sheetData>
    <row r="1" spans="1:6" s="5" customFormat="1" ht="18.5" x14ac:dyDescent="0.45">
      <c r="A1" s="11" t="s">
        <v>190</v>
      </c>
    </row>
    <row r="2" spans="1:6" x14ac:dyDescent="0.35">
      <c r="B2" t="s">
        <v>186</v>
      </c>
      <c r="C2" s="12">
        <v>5</v>
      </c>
      <c r="D2" s="6" t="s">
        <v>1</v>
      </c>
    </row>
    <row r="3" spans="1:6" x14ac:dyDescent="0.35">
      <c r="B3" t="s">
        <v>6</v>
      </c>
      <c r="C3" s="12">
        <v>150</v>
      </c>
      <c r="D3" s="6" t="s">
        <v>5</v>
      </c>
    </row>
    <row r="4" spans="1:6" x14ac:dyDescent="0.35">
      <c r="B4" t="s">
        <v>7</v>
      </c>
      <c r="C4" s="12">
        <v>115</v>
      </c>
      <c r="D4" s="6" t="s">
        <v>4</v>
      </c>
    </row>
    <row r="5" spans="1:6" x14ac:dyDescent="0.35">
      <c r="B5" t="s">
        <v>8</v>
      </c>
      <c r="C5" s="13">
        <v>0.7</v>
      </c>
      <c r="D5" s="6"/>
    </row>
    <row r="6" spans="1:6" x14ac:dyDescent="0.35">
      <c r="B6" t="s">
        <v>9</v>
      </c>
      <c r="C6" s="14">
        <f>C2/C4*1000</f>
        <v>43.478260869565219</v>
      </c>
      <c r="D6" s="6" t="s">
        <v>10</v>
      </c>
    </row>
    <row r="7" spans="1:6" x14ac:dyDescent="0.35">
      <c r="B7" t="s">
        <v>11</v>
      </c>
      <c r="C7" s="8">
        <f>C2/C3*1000*1000</f>
        <v>33333.333333333336</v>
      </c>
      <c r="D7" s="6" t="s">
        <v>12</v>
      </c>
    </row>
    <row r="8" spans="1:6" x14ac:dyDescent="0.35">
      <c r="B8" t="s">
        <v>13</v>
      </c>
      <c r="C8" s="8">
        <f>C7/C9/C10</f>
        <v>51.087295492903536</v>
      </c>
      <c r="D8" s="6" t="s">
        <v>14</v>
      </c>
      <c r="E8" s="7">
        <f>C8/2.54/12</f>
        <v>1.6760923718144205</v>
      </c>
      <c r="F8" t="s">
        <v>15</v>
      </c>
    </row>
    <row r="9" spans="1:6" x14ac:dyDescent="0.35">
      <c r="B9" t="s">
        <v>16</v>
      </c>
      <c r="C9" s="8">
        <f>C10</f>
        <v>25.543647746451771</v>
      </c>
      <c r="D9" s="6" t="s">
        <v>14</v>
      </c>
      <c r="E9" s="7">
        <f>C9/2.54/12</f>
        <v>0.83804618590721036</v>
      </c>
      <c r="F9" t="s">
        <v>15</v>
      </c>
    </row>
    <row r="10" spans="1:6" x14ac:dyDescent="0.35">
      <c r="B10" t="s">
        <v>17</v>
      </c>
      <c r="C10" s="8">
        <f>(C7/2)^(1/3)</f>
        <v>25.543647746451771</v>
      </c>
      <c r="D10" s="6" t="s">
        <v>14</v>
      </c>
      <c r="E10" s="7">
        <f>C10/2.54/12</f>
        <v>0.83804618590721036</v>
      </c>
      <c r="F10" t="s">
        <v>15</v>
      </c>
    </row>
    <row r="11" spans="1:6" x14ac:dyDescent="0.35">
      <c r="B11" t="s">
        <v>18</v>
      </c>
      <c r="C11" s="8">
        <f>C9*C8</f>
        <v>1304.9558803896211</v>
      </c>
      <c r="D11" s="6" t="s">
        <v>19</v>
      </c>
      <c r="E11" s="7">
        <f>C11/2.54/2.54/144</f>
        <v>1.4046428194272449</v>
      </c>
      <c r="F11" t="s">
        <v>20</v>
      </c>
    </row>
    <row r="12" spans="1:6" x14ac:dyDescent="0.35">
      <c r="B12" t="s">
        <v>21</v>
      </c>
      <c r="C12">
        <f>C5*C2</f>
        <v>3.5</v>
      </c>
      <c r="D12" t="s">
        <v>1</v>
      </c>
    </row>
    <row r="13" spans="1:6" x14ac:dyDescent="0.35">
      <c r="B13" t="s">
        <v>22</v>
      </c>
      <c r="C13">
        <f>CEILING(C2/0.074,1)</f>
        <v>68</v>
      </c>
    </row>
    <row r="14" spans="1:6" x14ac:dyDescent="0.35">
      <c r="B14" t="s">
        <v>184</v>
      </c>
      <c r="C14" s="81">
        <v>1.0000000000000001E-5</v>
      </c>
    </row>
    <row r="15" spans="1:6" x14ac:dyDescent="0.35">
      <c r="B15" s="27" t="s">
        <v>169</v>
      </c>
      <c r="C15" s="82">
        <v>44</v>
      </c>
    </row>
    <row r="17" spans="1:9" s="5" customFormat="1" ht="18.5" x14ac:dyDescent="0.45">
      <c r="A17" s="11" t="s">
        <v>23</v>
      </c>
    </row>
    <row r="18" spans="1:9" x14ac:dyDescent="0.35">
      <c r="B18" s="9" t="s">
        <v>24</v>
      </c>
      <c r="C18" s="15">
        <v>1000000</v>
      </c>
      <c r="D18" t="s">
        <v>25</v>
      </c>
      <c r="F18" s="1"/>
    </row>
    <row r="19" spans="1:9" x14ac:dyDescent="0.35">
      <c r="B19" s="6" t="s">
        <v>26</v>
      </c>
      <c r="C19">
        <f>FLOOR(C18/C2,1)</f>
        <v>200000</v>
      </c>
    </row>
    <row r="20" spans="1:9" x14ac:dyDescent="0.35">
      <c r="B20" s="6" t="s">
        <v>27</v>
      </c>
      <c r="C20">
        <f>FLOOR(C19/365,1)</f>
        <v>547</v>
      </c>
    </row>
    <row r="22" spans="1:9" s="5" customFormat="1" ht="18.5" x14ac:dyDescent="0.45">
      <c r="A22" s="11" t="s">
        <v>28</v>
      </c>
      <c r="C22" s="69">
        <v>2</v>
      </c>
      <c r="E22" s="5">
        <v>1</v>
      </c>
      <c r="F22" s="5">
        <v>2</v>
      </c>
      <c r="G22" s="5">
        <v>3</v>
      </c>
    </row>
    <row r="23" spans="1:9" x14ac:dyDescent="0.35">
      <c r="B23" s="6" t="s">
        <v>29</v>
      </c>
      <c r="C23" s="64" t="str">
        <f>LOOKUP(C$22,E$22:G$22,E23:G23)</f>
        <v>Regional</v>
      </c>
      <c r="E23" s="70" t="s">
        <v>179</v>
      </c>
      <c r="F23" s="70" t="s">
        <v>30</v>
      </c>
      <c r="G23" s="70" t="s">
        <v>180</v>
      </c>
    </row>
    <row r="24" spans="1:9" x14ac:dyDescent="0.35">
      <c r="B24" s="6" t="s">
        <v>31</v>
      </c>
      <c r="C24" s="64">
        <f t="shared" ref="C24:C30" si="0">LOOKUP(C$22,E$22:G$22,E24:G24)</f>
        <v>320</v>
      </c>
      <c r="D24" t="s">
        <v>32</v>
      </c>
      <c r="E24" s="70">
        <v>30</v>
      </c>
      <c r="F24" s="70">
        <v>320</v>
      </c>
      <c r="G24" s="70">
        <v>2400</v>
      </c>
    </row>
    <row r="25" spans="1:9" x14ac:dyDescent="0.35">
      <c r="B25" s="6" t="s">
        <v>33</v>
      </c>
      <c r="C25" s="64">
        <f t="shared" si="0"/>
        <v>8</v>
      </c>
      <c r="D25" t="s">
        <v>3</v>
      </c>
      <c r="E25" s="70">
        <v>2</v>
      </c>
      <c r="F25" s="70">
        <v>8</v>
      </c>
      <c r="G25" s="70">
        <v>44</v>
      </c>
    </row>
    <row r="26" spans="1:9" x14ac:dyDescent="0.35">
      <c r="B26" s="6" t="s">
        <v>34</v>
      </c>
      <c r="C26" s="64" t="str">
        <f t="shared" si="0"/>
        <v>Class 8 with 48' trailer</v>
      </c>
      <c r="E26" s="70" t="s">
        <v>183</v>
      </c>
      <c r="F26" s="70" t="s">
        <v>182</v>
      </c>
      <c r="G26" s="70" t="s">
        <v>182</v>
      </c>
    </row>
    <row r="27" spans="1:9" x14ac:dyDescent="0.35">
      <c r="B27" s="6" t="s">
        <v>35</v>
      </c>
      <c r="C27" s="64">
        <f t="shared" si="0"/>
        <v>141000</v>
      </c>
      <c r="D27" t="s">
        <v>2</v>
      </c>
      <c r="E27" s="70">
        <v>62000</v>
      </c>
      <c r="F27" s="70">
        <v>141000</v>
      </c>
      <c r="G27" s="70">
        <f>F27</f>
        <v>141000</v>
      </c>
    </row>
    <row r="28" spans="1:9" x14ac:dyDescent="0.35">
      <c r="B28" s="6" t="s">
        <v>36</v>
      </c>
      <c r="C28" s="64">
        <f t="shared" si="0"/>
        <v>0.5</v>
      </c>
      <c r="D28" t="s">
        <v>37</v>
      </c>
      <c r="E28" s="71">
        <f>4/10</f>
        <v>0.4</v>
      </c>
      <c r="F28" s="71">
        <f>4/8</f>
        <v>0.5</v>
      </c>
      <c r="G28" s="71">
        <v>0.5</v>
      </c>
    </row>
    <row r="29" spans="1:9" x14ac:dyDescent="0.35">
      <c r="B29" s="6" t="s">
        <v>38</v>
      </c>
      <c r="C29" s="64">
        <f t="shared" si="0"/>
        <v>108733440</v>
      </c>
      <c r="D29" t="s">
        <v>12</v>
      </c>
      <c r="E29" s="71">
        <f>10*10*24*28316</f>
        <v>67958400</v>
      </c>
      <c r="F29" s="71">
        <f>0.8*10*48*10*28316</f>
        <v>108733440</v>
      </c>
      <c r="G29" s="71">
        <f>F29</f>
        <v>108733440</v>
      </c>
      <c r="I29" s="4"/>
    </row>
    <row r="30" spans="1:9" x14ac:dyDescent="0.35">
      <c r="B30" s="6" t="s">
        <v>39</v>
      </c>
      <c r="C30" s="64">
        <f t="shared" si="0"/>
        <v>22727.272727272724</v>
      </c>
      <c r="D30" t="s">
        <v>10</v>
      </c>
      <c r="E30" s="71">
        <f>6500/2.2</f>
        <v>2954.5454545454545</v>
      </c>
      <c r="F30" s="71">
        <f>50000/2.2</f>
        <v>22727.272727272724</v>
      </c>
      <c r="G30" s="71">
        <f>50000/2.2</f>
        <v>22727.272727272724</v>
      </c>
      <c r="I30" s="4"/>
    </row>
    <row r="31" spans="1:9" x14ac:dyDescent="0.35">
      <c r="B31" s="6" t="s">
        <v>40</v>
      </c>
      <c r="C31">
        <f>FLOOR(MIN(C30/C6,C29/C7),1)</f>
        <v>522</v>
      </c>
      <c r="I31" s="4"/>
    </row>
    <row r="32" spans="1:9" x14ac:dyDescent="0.35">
      <c r="B32" s="6" t="s">
        <v>41</v>
      </c>
      <c r="C32">
        <f>CEILING(C19/C31,1)</f>
        <v>384</v>
      </c>
    </row>
    <row r="33" spans="1:9" x14ac:dyDescent="0.35">
      <c r="B33" s="6" t="s">
        <v>42</v>
      </c>
      <c r="C33">
        <f>C32*C25</f>
        <v>3072</v>
      </c>
      <c r="D33" t="s">
        <v>3</v>
      </c>
      <c r="E33" s="9"/>
      <c r="F33" s="9"/>
    </row>
    <row r="34" spans="1:9" x14ac:dyDescent="0.35">
      <c r="B34" s="6" t="s">
        <v>43</v>
      </c>
      <c r="C34">
        <f>CEILING(C33/(252*8),1)</f>
        <v>2</v>
      </c>
      <c r="E34" s="9"/>
      <c r="F34" s="9"/>
    </row>
    <row r="35" spans="1:9" x14ac:dyDescent="0.35">
      <c r="B35" s="6" t="s">
        <v>44</v>
      </c>
      <c r="C35">
        <f>C24*C32</f>
        <v>122880</v>
      </c>
      <c r="D35" t="s">
        <v>32</v>
      </c>
      <c r="E35" s="9"/>
      <c r="F35" s="9"/>
    </row>
    <row r="36" spans="1:9" x14ac:dyDescent="0.35">
      <c r="B36" s="6" t="s">
        <v>45</v>
      </c>
      <c r="C36">
        <f>CEILING(C34*C31*C2/10,1)</f>
        <v>522</v>
      </c>
      <c r="E36" s="9"/>
      <c r="F36" s="9"/>
    </row>
    <row r="37" spans="1:9" x14ac:dyDescent="0.35">
      <c r="B37" s="6" t="s">
        <v>46</v>
      </c>
      <c r="C37" s="71">
        <v>500</v>
      </c>
      <c r="D37" t="s">
        <v>2</v>
      </c>
      <c r="E37" s="9"/>
      <c r="F37" s="9"/>
    </row>
    <row r="38" spans="1:9" x14ac:dyDescent="0.35">
      <c r="B38" s="9"/>
      <c r="C38" s="9"/>
      <c r="D38" s="9"/>
      <c r="E38" s="9"/>
      <c r="F38" s="9"/>
    </row>
    <row r="39" spans="1:9" s="5" customFormat="1" ht="18.5" x14ac:dyDescent="0.45">
      <c r="A39" s="11" t="s">
        <v>47</v>
      </c>
    </row>
    <row r="40" spans="1:9" ht="15" customHeight="1" x14ac:dyDescent="0.35">
      <c r="B40" s="16" t="s">
        <v>48</v>
      </c>
      <c r="C40" s="17">
        <v>60</v>
      </c>
      <c r="D40" s="9" t="s">
        <v>49</v>
      </c>
      <c r="E40" s="16"/>
      <c r="G40" s="16"/>
    </row>
    <row r="41" spans="1:9" ht="15" customHeight="1" x14ac:dyDescent="0.35">
      <c r="B41" s="16" t="s">
        <v>50</v>
      </c>
      <c r="C41" s="17">
        <v>10</v>
      </c>
      <c r="D41" s="9" t="s">
        <v>49</v>
      </c>
      <c r="E41" s="16"/>
      <c r="G41" s="16"/>
    </row>
    <row r="42" spans="1:9" ht="15" customHeight="1" x14ac:dyDescent="0.35">
      <c r="B42" s="6" t="s">
        <v>51</v>
      </c>
      <c r="C42" s="17">
        <v>75</v>
      </c>
      <c r="D42" t="s">
        <v>49</v>
      </c>
    </row>
    <row r="43" spans="1:9" ht="15" customHeight="1" x14ac:dyDescent="0.35">
      <c r="B43" s="6" t="s">
        <v>52</v>
      </c>
      <c r="C43" s="17">
        <v>45</v>
      </c>
      <c r="D43" t="s">
        <v>49</v>
      </c>
      <c r="E43" s="65"/>
      <c r="F43" s="65"/>
      <c r="G43" s="65"/>
      <c r="H43" s="65"/>
      <c r="I43" s="65"/>
    </row>
    <row r="44" spans="1:9" ht="15" customHeight="1" x14ac:dyDescent="0.35">
      <c r="B44" s="6" t="s">
        <v>53</v>
      </c>
      <c r="C44" s="17">
        <v>1</v>
      </c>
    </row>
    <row r="45" spans="1:9" ht="15" customHeight="1" x14ac:dyDescent="0.35">
      <c r="B45" s="6" t="s">
        <v>54</v>
      </c>
      <c r="C45" s="68">
        <f>C43/60*C44*C12/0.85*C19</f>
        <v>617647.0588235294</v>
      </c>
      <c r="D45" t="s">
        <v>1</v>
      </c>
    </row>
    <row r="46" spans="1:9" ht="15" customHeight="1" x14ac:dyDescent="0.35">
      <c r="B46" s="16" t="s">
        <v>55</v>
      </c>
      <c r="C46" s="17">
        <v>5</v>
      </c>
      <c r="D46" s="9" t="s">
        <v>49</v>
      </c>
      <c r="E46" s="16"/>
      <c r="G46" s="16"/>
    </row>
    <row r="47" spans="1:9" ht="15" customHeight="1" x14ac:dyDescent="0.35">
      <c r="B47" s="16" t="s">
        <v>56</v>
      </c>
      <c r="C47" s="17">
        <v>45</v>
      </c>
      <c r="D47" s="9" t="s">
        <v>49</v>
      </c>
      <c r="E47" s="16"/>
      <c r="G47" s="16"/>
    </row>
    <row r="48" spans="1:9" ht="15" customHeight="1" x14ac:dyDescent="0.35">
      <c r="B48" s="16" t="s">
        <v>57</v>
      </c>
      <c r="C48" s="16">
        <f>C40+C41+C46+C47</f>
        <v>120</v>
      </c>
      <c r="D48" s="9" t="s">
        <v>49</v>
      </c>
      <c r="E48" s="66"/>
      <c r="F48" s="67"/>
      <c r="G48" s="67"/>
      <c r="H48" s="67"/>
      <c r="I48" s="67"/>
    </row>
    <row r="49" spans="1:5" ht="15" customHeight="1" x14ac:dyDescent="0.35">
      <c r="B49" s="16" t="s">
        <v>58</v>
      </c>
      <c r="C49" s="18">
        <f>252*8/(C48/60)</f>
        <v>1008</v>
      </c>
      <c r="D49" s="9"/>
      <c r="E49" s="16"/>
    </row>
    <row r="50" spans="1:5" ht="15" customHeight="1" x14ac:dyDescent="0.35">
      <c r="B50" s="16" t="s">
        <v>59</v>
      </c>
      <c r="C50" s="18">
        <f>CEILING(C20/C89,1)</f>
        <v>79</v>
      </c>
      <c r="D50" s="9"/>
      <c r="E50" s="16"/>
    </row>
    <row r="51" spans="1:5" ht="15" customHeight="1" x14ac:dyDescent="0.35">
      <c r="B51" s="16" t="s">
        <v>60</v>
      </c>
      <c r="C51" s="72">
        <v>15</v>
      </c>
      <c r="D51" s="6" t="s">
        <v>49</v>
      </c>
      <c r="E51" s="16"/>
    </row>
    <row r="52" spans="1:5" ht="15" customHeight="1" x14ac:dyDescent="0.35">
      <c r="B52" s="16" t="s">
        <v>61</v>
      </c>
      <c r="C52" s="18">
        <f>C51*C50*2/60</f>
        <v>39.5</v>
      </c>
      <c r="D52" s="6" t="s">
        <v>62</v>
      </c>
      <c r="E52" s="16"/>
    </row>
    <row r="53" spans="1:5" ht="15" customHeight="1" x14ac:dyDescent="0.35">
      <c r="D53" s="9"/>
      <c r="E53" s="16"/>
    </row>
    <row r="54" spans="1:5" s="5" customFormat="1" ht="18.75" customHeight="1" x14ac:dyDescent="0.45">
      <c r="A54" s="11" t="s">
        <v>63</v>
      </c>
    </row>
    <row r="55" spans="1:5" ht="15" customHeight="1" x14ac:dyDescent="0.35">
      <c r="B55" s="16" t="s">
        <v>64</v>
      </c>
      <c r="C55" s="16">
        <f>MAX(1,CEILING(C19/C49,1))</f>
        <v>199</v>
      </c>
      <c r="D55" s="9"/>
      <c r="E55" s="16"/>
    </row>
    <row r="56" spans="1:5" ht="15" customHeight="1" x14ac:dyDescent="0.35">
      <c r="B56" s="16" t="s">
        <v>65</v>
      </c>
      <c r="C56" s="19">
        <f>MAX(1,CEILING((C52*365)/(8*252),1))</f>
        <v>8</v>
      </c>
      <c r="D56" s="9"/>
      <c r="E56" s="16"/>
    </row>
    <row r="57" spans="1:5" ht="15" customHeight="1" x14ac:dyDescent="0.35">
      <c r="B57" s="16" t="s">
        <v>66</v>
      </c>
      <c r="C57" s="16">
        <f>C34</f>
        <v>2</v>
      </c>
      <c r="D57" s="9"/>
      <c r="E57" s="16"/>
    </row>
    <row r="58" spans="1:5" ht="15" customHeight="1" x14ac:dyDescent="0.35">
      <c r="B58" s="16" t="s">
        <v>67</v>
      </c>
      <c r="C58" s="16">
        <f>MAX(1,CEILING(SUM(C55:C57)/10,1))</f>
        <v>21</v>
      </c>
      <c r="D58" s="9"/>
      <c r="E58" s="16"/>
    </row>
    <row r="59" spans="1:5" ht="15" customHeight="1" x14ac:dyDescent="0.35">
      <c r="B59" s="16" t="s">
        <v>68</v>
      </c>
      <c r="C59" s="16">
        <f>MAX(1,CEILING(C18/100000,1))</f>
        <v>10</v>
      </c>
      <c r="D59" s="9"/>
      <c r="E59" s="16"/>
    </row>
    <row r="60" spans="1:5" ht="15" customHeight="1" x14ac:dyDescent="0.35">
      <c r="B60" s="16" t="s">
        <v>69</v>
      </c>
      <c r="C60" s="16">
        <f>MAX(1,CEILING(C18/100000,1))</f>
        <v>10</v>
      </c>
      <c r="D60" s="9"/>
      <c r="E60" s="16"/>
    </row>
    <row r="61" spans="1:5" ht="15" customHeight="1" x14ac:dyDescent="0.35">
      <c r="B61" s="16" t="s">
        <v>70</v>
      </c>
      <c r="C61" s="16">
        <f>IF(SUM(C55:C60)&gt;20,1,0)</f>
        <v>1</v>
      </c>
      <c r="D61" s="9"/>
      <c r="E61" s="16"/>
    </row>
    <row r="62" spans="1:5" ht="15" customHeight="1" x14ac:dyDescent="0.35">
      <c r="B62" s="16" t="s">
        <v>71</v>
      </c>
      <c r="C62" s="17">
        <v>1</v>
      </c>
      <c r="D62" s="9"/>
      <c r="E62" s="16"/>
    </row>
    <row r="63" spans="1:5" ht="15" customHeight="1" x14ac:dyDescent="0.35">
      <c r="B63" s="16" t="s">
        <v>72</v>
      </c>
      <c r="C63" s="16">
        <f>MAX(1,CEILING(SUM(C55:C62)/30,1))</f>
        <v>9</v>
      </c>
      <c r="D63" s="9"/>
      <c r="E63" s="16"/>
    </row>
    <row r="64" spans="1:5" ht="15" customHeight="1" x14ac:dyDescent="0.35">
      <c r="B64" s="16" t="s">
        <v>73</v>
      </c>
      <c r="C64" s="16">
        <f>FLOOR(SUM(C55:C62)/30,1)</f>
        <v>8</v>
      </c>
      <c r="D64" s="9"/>
      <c r="E64" s="16"/>
    </row>
    <row r="65" spans="1:9" ht="15" customHeight="1" x14ac:dyDescent="0.35">
      <c r="B65" s="19" t="s">
        <v>194</v>
      </c>
      <c r="C65" s="71">
        <v>0</v>
      </c>
      <c r="D65" s="9"/>
      <c r="E65" s="16"/>
    </row>
    <row r="66" spans="1:9" ht="15" customHeight="1" x14ac:dyDescent="0.35">
      <c r="B66" s="19" t="s">
        <v>195</v>
      </c>
      <c r="C66" s="71">
        <v>0</v>
      </c>
      <c r="D66" s="9"/>
      <c r="E66" s="16"/>
    </row>
    <row r="67" spans="1:9" ht="15" customHeight="1" x14ac:dyDescent="0.35">
      <c r="B67" s="19" t="s">
        <v>74</v>
      </c>
      <c r="C67">
        <f>CEILING((C59+C62+C63+C64)+0.23*(C60+C61+C55+C56+C58),1)</f>
        <v>83</v>
      </c>
      <c r="D67" s="9"/>
      <c r="E67" s="16"/>
    </row>
    <row r="68" spans="1:9" ht="15" customHeight="1" x14ac:dyDescent="0.35"/>
    <row r="69" spans="1:9" s="5" customFormat="1" ht="18.75" customHeight="1" x14ac:dyDescent="0.45">
      <c r="A69" s="11" t="s">
        <v>75</v>
      </c>
      <c r="H69" s="20">
        <f>C108+C97+C82</f>
        <v>15019.034120734908</v>
      </c>
      <c r="I69" s="21" t="s">
        <v>20</v>
      </c>
    </row>
    <row r="70" spans="1:9" s="9" customFormat="1" ht="15.75" customHeight="1" x14ac:dyDescent="0.35">
      <c r="A70" s="22" t="s">
        <v>76</v>
      </c>
      <c r="B70" s="23" t="s">
        <v>77</v>
      </c>
      <c r="C70" s="71">
        <v>3</v>
      </c>
      <c r="D70" s="2" t="s">
        <v>15</v>
      </c>
    </row>
    <row r="71" spans="1:9" s="9" customFormat="1" ht="15.75" customHeight="1" x14ac:dyDescent="0.35">
      <c r="A71" s="24"/>
      <c r="B71" s="23" t="s">
        <v>78</v>
      </c>
      <c r="C71" s="25">
        <f>2500/25.4/12</f>
        <v>8.2020997375328086</v>
      </c>
      <c r="D71" s="2" t="s">
        <v>15</v>
      </c>
    </row>
    <row r="72" spans="1:9" s="9" customFormat="1" ht="15.75" customHeight="1" x14ac:dyDescent="0.35">
      <c r="A72" s="24"/>
      <c r="B72" s="23" t="s">
        <v>79</v>
      </c>
      <c r="C72" s="73">
        <v>5</v>
      </c>
      <c r="D72" s="2" t="s">
        <v>15</v>
      </c>
    </row>
    <row r="73" spans="1:9" s="9" customFormat="1" ht="15.75" customHeight="1" x14ac:dyDescent="0.35">
      <c r="A73" s="26"/>
      <c r="B73" s="23" t="s">
        <v>80</v>
      </c>
      <c r="C73" s="23">
        <f>CEILING(C20*C40/60/24,1)</f>
        <v>23</v>
      </c>
      <c r="D73" s="23" t="s">
        <v>81</v>
      </c>
    </row>
    <row r="74" spans="1:9" s="9" customFormat="1" ht="15.75" customHeight="1" x14ac:dyDescent="0.35">
      <c r="A74" s="22"/>
      <c r="B74" s="23" t="s">
        <v>82</v>
      </c>
      <c r="C74" s="23">
        <f>CEILING(C20*SUM(C41,C42,C46)/60/24,1)</f>
        <v>35</v>
      </c>
      <c r="D74" s="2" t="s">
        <v>81</v>
      </c>
    </row>
    <row r="75" spans="1:9" s="9" customFormat="1" ht="15.75" customHeight="1" x14ac:dyDescent="0.35">
      <c r="A75" s="22"/>
      <c r="B75" s="23" t="s">
        <v>83</v>
      </c>
      <c r="C75" s="23">
        <f>CEILING(C20*C47/60/24,1)</f>
        <v>18</v>
      </c>
      <c r="D75" s="23" t="s">
        <v>81</v>
      </c>
    </row>
    <row r="76" spans="1:9" s="9" customFormat="1" ht="15.75" customHeight="1" x14ac:dyDescent="0.35">
      <c r="A76" s="22"/>
      <c r="B76" s="6" t="s">
        <v>84</v>
      </c>
      <c r="C76" s="14">
        <f>MAX(2,E9+1)</f>
        <v>2</v>
      </c>
      <c r="D76" s="6" t="s">
        <v>15</v>
      </c>
    </row>
    <row r="77" spans="1:9" s="9" customFormat="1" ht="15.75" customHeight="1" x14ac:dyDescent="0.35">
      <c r="A77" s="22"/>
      <c r="B77" s="6" t="s">
        <v>85</v>
      </c>
      <c r="C77" s="14">
        <f>MAX(C70,E8+1)</f>
        <v>3</v>
      </c>
      <c r="D77" s="6" t="s">
        <v>15</v>
      </c>
    </row>
    <row r="78" spans="1:9" s="9" customFormat="1" ht="15.75" customHeight="1" x14ac:dyDescent="0.35">
      <c r="A78" s="22"/>
      <c r="B78" s="6" t="s">
        <v>86</v>
      </c>
      <c r="C78" s="14">
        <f>C77*C76</f>
        <v>6</v>
      </c>
      <c r="D78" s="6" t="s">
        <v>20</v>
      </c>
    </row>
    <row r="79" spans="1:9" s="9" customFormat="1" ht="15.75" customHeight="1" x14ac:dyDescent="0.35">
      <c r="A79" s="26"/>
      <c r="B79" s="6" t="s">
        <v>87</v>
      </c>
      <c r="C79" s="14">
        <f>C77</f>
        <v>3</v>
      </c>
      <c r="D79" s="6" t="s">
        <v>15</v>
      </c>
    </row>
    <row r="80" spans="1:9" s="9" customFormat="1" ht="15.75" customHeight="1" x14ac:dyDescent="0.35">
      <c r="A80" s="22"/>
      <c r="B80" s="6" t="s">
        <v>88</v>
      </c>
      <c r="C80" s="6">
        <f>CEILING((C73+C74+C75)/2,1)*(C76+C70)</f>
        <v>190</v>
      </c>
      <c r="D80" s="6" t="s">
        <v>15</v>
      </c>
    </row>
    <row r="81" spans="1:4" s="9" customFormat="1" ht="15.75" customHeight="1" x14ac:dyDescent="0.35">
      <c r="A81" s="22"/>
      <c r="B81" s="27" t="s">
        <v>89</v>
      </c>
      <c r="C81" s="14">
        <f>C79+2*C77+2*C72+C71</f>
        <v>27.202099737532809</v>
      </c>
      <c r="D81" s="6" t="s">
        <v>15</v>
      </c>
    </row>
    <row r="82" spans="1:4" s="9" customFormat="1" ht="15.75" customHeight="1" x14ac:dyDescent="0.35">
      <c r="A82" s="22"/>
      <c r="B82" s="27" t="s">
        <v>90</v>
      </c>
      <c r="C82" s="14">
        <f>C81*C80</f>
        <v>5168.3989501312335</v>
      </c>
      <c r="D82" s="6" t="s">
        <v>20</v>
      </c>
    </row>
    <row r="83" spans="1:4" s="9" customFormat="1" ht="15.75" customHeight="1" x14ac:dyDescent="0.35">
      <c r="A83" s="22" t="s">
        <v>91</v>
      </c>
      <c r="B83" s="23" t="s">
        <v>92</v>
      </c>
      <c r="C83" s="28">
        <f>C71*3*2</f>
        <v>49.212598425196852</v>
      </c>
      <c r="D83" s="23" t="s">
        <v>15</v>
      </c>
    </row>
    <row r="84" spans="1:4" s="9" customFormat="1" ht="15.75" customHeight="1" x14ac:dyDescent="0.35">
      <c r="A84" s="22"/>
      <c r="B84" s="27" t="s">
        <v>93</v>
      </c>
      <c r="C84" s="27">
        <f>C20</f>
        <v>547</v>
      </c>
      <c r="D84" s="27"/>
    </row>
    <row r="85" spans="1:4" s="9" customFormat="1" ht="15.75" customHeight="1" x14ac:dyDescent="0.35">
      <c r="A85" s="22"/>
      <c r="B85" s="23" t="s">
        <v>94</v>
      </c>
      <c r="C85" s="74">
        <v>10</v>
      </c>
      <c r="D85" s="23" t="s">
        <v>15</v>
      </c>
    </row>
    <row r="86" spans="1:4" s="9" customFormat="1" ht="15.75" customHeight="1" x14ac:dyDescent="0.35">
      <c r="A86" s="22"/>
      <c r="B86" s="23" t="s">
        <v>95</v>
      </c>
      <c r="C86" s="28">
        <f>40/12</f>
        <v>3.3333333333333335</v>
      </c>
      <c r="D86" s="23" t="s">
        <v>15</v>
      </c>
    </row>
    <row r="87" spans="1:4" s="9" customFormat="1" ht="15.75" customHeight="1" x14ac:dyDescent="0.35">
      <c r="A87" s="22"/>
      <c r="B87" s="23" t="s">
        <v>96</v>
      </c>
      <c r="C87" s="74">
        <v>4</v>
      </c>
      <c r="D87" s="23" t="s">
        <v>15</v>
      </c>
    </row>
    <row r="88" spans="1:4" s="9" customFormat="1" ht="15.75" customHeight="1" x14ac:dyDescent="0.35">
      <c r="A88" s="22"/>
      <c r="B88" s="23" t="s">
        <v>97</v>
      </c>
      <c r="C88" s="74">
        <v>0.5</v>
      </c>
      <c r="D88" s="23" t="s">
        <v>15</v>
      </c>
    </row>
    <row r="89" spans="1:4" s="9" customFormat="1" ht="15.75" customHeight="1" x14ac:dyDescent="0.35">
      <c r="A89" s="22"/>
      <c r="B89" s="23" t="s">
        <v>98</v>
      </c>
      <c r="C89" s="23">
        <f>FLOOR(C86*C87/(1.2*E11),1)</f>
        <v>7</v>
      </c>
      <c r="D89" s="23"/>
    </row>
    <row r="90" spans="1:4" s="9" customFormat="1" ht="15.75" customHeight="1" x14ac:dyDescent="0.35">
      <c r="A90" s="22"/>
      <c r="B90" s="23" t="s">
        <v>99</v>
      </c>
      <c r="C90" s="28">
        <f>FLOOR(C85/(C88+E10+0.5),1)</f>
        <v>5</v>
      </c>
      <c r="D90" s="23"/>
    </row>
    <row r="91" spans="1:4" s="9" customFormat="1" ht="15.75" customHeight="1" x14ac:dyDescent="0.35">
      <c r="A91" s="22"/>
      <c r="B91" s="23" t="s">
        <v>100</v>
      </c>
      <c r="C91" s="28">
        <f>C90*C89</f>
        <v>35</v>
      </c>
      <c r="D91" s="23"/>
    </row>
    <row r="92" spans="1:4" s="9" customFormat="1" ht="15.75" customHeight="1" x14ac:dyDescent="0.35">
      <c r="A92" s="22"/>
      <c r="B92" s="23" t="s">
        <v>101</v>
      </c>
      <c r="C92" s="28">
        <f xml:space="preserve"> FLOOR((C81-C71-C72-C72)/(C86+1),1)</f>
        <v>2</v>
      </c>
      <c r="D92" s="23"/>
    </row>
    <row r="93" spans="1:4" s="9" customFormat="1" ht="15.75" customHeight="1" x14ac:dyDescent="0.35">
      <c r="A93" s="22"/>
      <c r="B93" s="23" t="s">
        <v>102</v>
      </c>
      <c r="C93" s="23">
        <f>CEILING(C84/C91,1)</f>
        <v>16</v>
      </c>
      <c r="D93" s="23"/>
    </row>
    <row r="94" spans="1:4" s="9" customFormat="1" ht="15.75" customHeight="1" x14ac:dyDescent="0.35">
      <c r="A94" s="22"/>
      <c r="B94" s="27" t="s">
        <v>103</v>
      </c>
      <c r="C94" s="27">
        <f>CEILING(C93/C92,1)</f>
        <v>8</v>
      </c>
      <c r="D94" s="23"/>
    </row>
    <row r="95" spans="1:4" s="9" customFormat="1" ht="15.75" customHeight="1" x14ac:dyDescent="0.35">
      <c r="A95" s="22"/>
      <c r="B95" s="27" t="s">
        <v>104</v>
      </c>
      <c r="C95" s="27">
        <f>C93*2</f>
        <v>32</v>
      </c>
      <c r="D95" s="23"/>
    </row>
    <row r="96" spans="1:4" s="9" customFormat="1" ht="15.75" customHeight="1" x14ac:dyDescent="0.35">
      <c r="A96" s="22"/>
      <c r="B96" s="23" t="s">
        <v>105</v>
      </c>
      <c r="C96" s="23">
        <f>C94*2*(C87+3)</f>
        <v>112</v>
      </c>
      <c r="D96" s="23" t="s">
        <v>15</v>
      </c>
    </row>
    <row r="97" spans="1:11" s="9" customFormat="1" ht="15.75" customHeight="1" x14ac:dyDescent="0.35">
      <c r="A97" s="22"/>
      <c r="B97" s="27" t="s">
        <v>106</v>
      </c>
      <c r="C97" s="29">
        <f>C96*C81</f>
        <v>3046.6351706036744</v>
      </c>
      <c r="D97" s="23" t="s">
        <v>20</v>
      </c>
    </row>
    <row r="98" spans="1:11" s="9" customFormat="1" ht="15.75" customHeight="1" x14ac:dyDescent="0.35">
      <c r="A98" s="22" t="s">
        <v>107</v>
      </c>
      <c r="B98" s="23" t="s">
        <v>79</v>
      </c>
      <c r="C98" s="74">
        <v>5</v>
      </c>
      <c r="D98" s="23" t="s">
        <v>15</v>
      </c>
    </row>
    <row r="99" spans="1:11" s="9" customFormat="1" ht="15.75" customHeight="1" x14ac:dyDescent="0.35">
      <c r="A99" s="22"/>
      <c r="B99" s="27" t="s">
        <v>108</v>
      </c>
      <c r="C99" s="27">
        <f>C105+C103</f>
        <v>324</v>
      </c>
      <c r="D99" s="27" t="s">
        <v>15</v>
      </c>
    </row>
    <row r="100" spans="1:11" s="9" customFormat="1" ht="15.75" customHeight="1" x14ac:dyDescent="0.35">
      <c r="A100" s="22"/>
      <c r="B100" s="23" t="s">
        <v>109</v>
      </c>
      <c r="C100" s="74">
        <v>13</v>
      </c>
      <c r="D100" s="27" t="s">
        <v>15</v>
      </c>
    </row>
    <row r="101" spans="1:11" s="9" customFormat="1" ht="15.75" customHeight="1" x14ac:dyDescent="0.35">
      <c r="A101" s="22"/>
      <c r="B101" s="27" t="s">
        <v>110</v>
      </c>
      <c r="C101" s="27">
        <f>C59+C60+C61+C62+C63+C64</f>
        <v>39</v>
      </c>
      <c r="D101" s="23"/>
    </row>
    <row r="102" spans="1:11" s="9" customFormat="1" ht="15.75" customHeight="1" x14ac:dyDescent="0.35">
      <c r="A102" s="22"/>
      <c r="B102" s="27" t="s">
        <v>111</v>
      </c>
      <c r="C102" s="75">
        <v>8</v>
      </c>
      <c r="D102" s="23" t="s">
        <v>15</v>
      </c>
    </row>
    <row r="103" spans="1:11" s="9" customFormat="1" ht="15.75" customHeight="1" x14ac:dyDescent="0.35">
      <c r="A103" s="22"/>
      <c r="B103" s="27" t="s">
        <v>112</v>
      </c>
      <c r="C103" s="27">
        <f>C102*C101</f>
        <v>312</v>
      </c>
      <c r="D103" s="23" t="s">
        <v>15</v>
      </c>
    </row>
    <row r="104" spans="1:11" s="9" customFormat="1" ht="15.75" customHeight="1" x14ac:dyDescent="0.35">
      <c r="A104" s="22"/>
      <c r="B104" s="23" t="s">
        <v>113</v>
      </c>
      <c r="C104" s="23">
        <f>MAX(C100*6*2,0.5*C67)</f>
        <v>156</v>
      </c>
      <c r="D104" s="23" t="s">
        <v>20</v>
      </c>
    </row>
    <row r="105" spans="1:11" s="9" customFormat="1" ht="15.75" customHeight="1" x14ac:dyDescent="0.35">
      <c r="A105" s="22"/>
      <c r="B105" s="27" t="s">
        <v>114</v>
      </c>
      <c r="C105" s="27">
        <f>C104/C100</f>
        <v>12</v>
      </c>
      <c r="D105" s="23" t="s">
        <v>15</v>
      </c>
    </row>
    <row r="106" spans="1:11" s="9" customFormat="1" ht="15.75" customHeight="1" x14ac:dyDescent="0.35">
      <c r="A106" s="22"/>
      <c r="B106" s="23" t="s">
        <v>115</v>
      </c>
      <c r="C106" s="23">
        <f>C67*4</f>
        <v>332</v>
      </c>
      <c r="D106" s="23" t="s">
        <v>20</v>
      </c>
    </row>
    <row r="107" spans="1:11" s="9" customFormat="1" ht="15.75" customHeight="1" x14ac:dyDescent="0.35">
      <c r="A107" s="22"/>
      <c r="B107" s="23" t="s">
        <v>116</v>
      </c>
      <c r="C107" s="23">
        <f>64*C60</f>
        <v>640</v>
      </c>
      <c r="D107" s="23" t="s">
        <v>20</v>
      </c>
    </row>
    <row r="108" spans="1:11" s="9" customFormat="1" ht="15.75" customHeight="1" x14ac:dyDescent="0.35">
      <c r="A108" s="22"/>
      <c r="B108" s="23" t="s">
        <v>117</v>
      </c>
      <c r="C108" s="23">
        <f>C107+C106+C104+C103*C100+C98*C99</f>
        <v>6804</v>
      </c>
      <c r="D108" s="23" t="s">
        <v>20</v>
      </c>
    </row>
    <row r="109" spans="1:11" s="9" customFormat="1" ht="15" customHeight="1" x14ac:dyDescent="0.35"/>
    <row r="110" spans="1:11" s="5" customFormat="1" ht="18.75" customHeight="1" x14ac:dyDescent="0.45">
      <c r="A110" s="21" t="s">
        <v>118</v>
      </c>
      <c r="H110" s="30">
        <f>G112+G116+G124</f>
        <v>3094280.4399524145</v>
      </c>
    </row>
    <row r="111" spans="1:11" s="9" customFormat="1" ht="15" customHeight="1" x14ac:dyDescent="0.35">
      <c r="B111" s="31" t="s">
        <v>119</v>
      </c>
      <c r="C111" s="31" t="s">
        <v>120</v>
      </c>
      <c r="D111" s="31" t="s">
        <v>121</v>
      </c>
      <c r="E111" s="31" t="s">
        <v>122</v>
      </c>
      <c r="F111" s="31" t="s">
        <v>123</v>
      </c>
      <c r="G111" s="31" t="s">
        <v>124</v>
      </c>
      <c r="H111" s="32"/>
    </row>
    <row r="112" spans="1:11" s="9" customFormat="1" ht="15" customHeight="1" x14ac:dyDescent="0.35">
      <c r="B112" s="9" t="s">
        <v>125</v>
      </c>
      <c r="E112" s="33"/>
      <c r="F112" s="33"/>
      <c r="G112" s="33">
        <f>SUM(F113:F115)</f>
        <v>732600</v>
      </c>
      <c r="J112" s="9" t="str">
        <f>C118</f>
        <v>Upfront Battery Purchases</v>
      </c>
      <c r="K112" s="32">
        <f>F118</f>
        <v>1634980.4399524143</v>
      </c>
    </row>
    <row r="113" spans="1:11" s="9" customFormat="1" ht="15" customHeight="1" x14ac:dyDescent="0.35">
      <c r="B113" s="6"/>
      <c r="C113" s="9" t="s">
        <v>126</v>
      </c>
      <c r="D113" s="6">
        <f>C74</f>
        <v>35</v>
      </c>
      <c r="E113" s="76">
        <f>2*C2*2000</f>
        <v>20000</v>
      </c>
      <c r="F113" s="33">
        <f>E113*D114</f>
        <v>700000</v>
      </c>
      <c r="G113" s="34"/>
      <c r="J113" s="9" t="str">
        <f>C113</f>
        <v>Battery Test Channels</v>
      </c>
      <c r="K113" s="32">
        <f>F113</f>
        <v>700000</v>
      </c>
    </row>
    <row r="114" spans="1:11" s="9" customFormat="1" ht="15" customHeight="1" x14ac:dyDescent="0.35">
      <c r="C114" s="6" t="s">
        <v>127</v>
      </c>
      <c r="D114" s="6">
        <f>D113</f>
        <v>35</v>
      </c>
      <c r="E114" s="76">
        <v>160</v>
      </c>
      <c r="F114" s="33">
        <f>E114*D114</f>
        <v>5600</v>
      </c>
      <c r="G114" s="34"/>
      <c r="J114" s="9" t="str">
        <f>C121</f>
        <v>MD Truck</v>
      </c>
      <c r="K114" s="32">
        <f>F121</f>
        <v>282000</v>
      </c>
    </row>
    <row r="115" spans="1:11" s="9" customFormat="1" ht="15" customHeight="1" x14ac:dyDescent="0.35">
      <c r="C115" s="9" t="s">
        <v>128</v>
      </c>
      <c r="D115" s="6">
        <f>CEILING(D113/4,1)</f>
        <v>9</v>
      </c>
      <c r="E115" s="76">
        <v>3000</v>
      </c>
      <c r="F115" s="33">
        <f>E115*D115</f>
        <v>27000</v>
      </c>
      <c r="G115" s="34"/>
      <c r="J115" s="9" t="str">
        <f>C122</f>
        <v>Shipping Containers</v>
      </c>
      <c r="K115" s="32">
        <f>F122</f>
        <v>261000</v>
      </c>
    </row>
    <row r="116" spans="1:11" s="9" customFormat="1" ht="15" customHeight="1" x14ac:dyDescent="0.35">
      <c r="B116" s="9" t="s">
        <v>129</v>
      </c>
      <c r="E116" s="33"/>
      <c r="F116" s="33"/>
      <c r="G116" s="33">
        <f>SUM(F117:F123)</f>
        <v>2261680.4399524145</v>
      </c>
      <c r="J116" s="9" t="str">
        <f>C117</f>
        <v>Conveyors</v>
      </c>
      <c r="K116" s="32">
        <f>F117</f>
        <v>28500</v>
      </c>
    </row>
    <row r="117" spans="1:11" s="9" customFormat="1" ht="15" customHeight="1" x14ac:dyDescent="0.35">
      <c r="C117" s="9" t="s">
        <v>130</v>
      </c>
      <c r="D117" s="6">
        <f>C79*C80</f>
        <v>570</v>
      </c>
      <c r="E117" s="76">
        <v>50</v>
      </c>
      <c r="F117" s="33">
        <f t="shared" ref="F117:F123" si="1">E117*D117</f>
        <v>28500</v>
      </c>
      <c r="G117" s="33"/>
      <c r="J117" s="9" t="str">
        <f>C119</f>
        <v>Storage Racks</v>
      </c>
      <c r="K117" s="32">
        <f>F119</f>
        <v>3200</v>
      </c>
    </row>
    <row r="118" spans="1:11" s="9" customFormat="1" ht="15" customHeight="1" x14ac:dyDescent="0.35">
      <c r="B118" s="58"/>
      <c r="C118" s="63" t="s">
        <v>178</v>
      </c>
      <c r="D118" s="58">
        <f>C19/12</f>
        <v>16666.666666666668</v>
      </c>
      <c r="E118" s="59">
        <f>Batt_Buy_Cost</f>
        <v>98.098826397144848</v>
      </c>
      <c r="F118" s="60">
        <f>E118*D118</f>
        <v>1634980.4399524143</v>
      </c>
      <c r="G118" s="33"/>
      <c r="J118" s="9" t="str">
        <f>C115</f>
        <v>Computers</v>
      </c>
      <c r="K118" s="32">
        <f>F115</f>
        <v>27000</v>
      </c>
    </row>
    <row r="119" spans="1:11" s="9" customFormat="1" ht="15" customHeight="1" x14ac:dyDescent="0.35">
      <c r="C119" s="9" t="s">
        <v>131</v>
      </c>
      <c r="D119" s="6">
        <f>C95</f>
        <v>32</v>
      </c>
      <c r="E119" s="76">
        <v>100</v>
      </c>
      <c r="F119" s="33">
        <f t="shared" si="1"/>
        <v>3200</v>
      </c>
      <c r="G119" s="33"/>
      <c r="J119" s="9" t="str">
        <f>C120</f>
        <v>Forklift</v>
      </c>
      <c r="K119" s="32">
        <f>F120</f>
        <v>14000</v>
      </c>
    </row>
    <row r="120" spans="1:11" s="9" customFormat="1" ht="15" customHeight="1" x14ac:dyDescent="0.35">
      <c r="C120" s="9" t="s">
        <v>132</v>
      </c>
      <c r="D120" s="6">
        <f>MAX(1,CEILING((C52/24),1))</f>
        <v>2</v>
      </c>
      <c r="E120" s="76">
        <v>7000</v>
      </c>
      <c r="F120" s="33">
        <f t="shared" si="1"/>
        <v>14000</v>
      </c>
      <c r="G120" s="33"/>
      <c r="J120" s="9" t="str">
        <f>C123</f>
        <v>Work Stations</v>
      </c>
      <c r="K120" s="32">
        <f>F123</f>
        <v>38000</v>
      </c>
    </row>
    <row r="121" spans="1:11" s="9" customFormat="1" ht="15" customHeight="1" x14ac:dyDescent="0.35">
      <c r="C121" s="9" t="s">
        <v>133</v>
      </c>
      <c r="D121" s="9">
        <f>C34</f>
        <v>2</v>
      </c>
      <c r="E121" s="33">
        <f>C27</f>
        <v>141000</v>
      </c>
      <c r="F121" s="33">
        <f t="shared" si="1"/>
        <v>282000</v>
      </c>
      <c r="G121" s="33"/>
      <c r="J121" s="9" t="str">
        <f>C114</f>
        <v>CAN hardware</v>
      </c>
      <c r="K121" s="32">
        <f>F114</f>
        <v>5600</v>
      </c>
    </row>
    <row r="122" spans="1:11" s="9" customFormat="1" ht="15" customHeight="1" x14ac:dyDescent="0.35">
      <c r="C122" s="6" t="s">
        <v>45</v>
      </c>
      <c r="D122" s="9">
        <f>C36</f>
        <v>522</v>
      </c>
      <c r="E122" s="33">
        <f>C37</f>
        <v>500</v>
      </c>
      <c r="F122" s="33">
        <f t="shared" si="1"/>
        <v>261000</v>
      </c>
      <c r="G122" s="33"/>
    </row>
    <row r="123" spans="1:11" s="9" customFormat="1" ht="15" customHeight="1" x14ac:dyDescent="0.35">
      <c r="C123" s="6" t="s">
        <v>134</v>
      </c>
      <c r="D123" s="9">
        <f>C73+C74+C75</f>
        <v>76</v>
      </c>
      <c r="E123" s="76">
        <v>500</v>
      </c>
      <c r="F123" s="33">
        <f t="shared" si="1"/>
        <v>38000</v>
      </c>
      <c r="G123" s="33"/>
      <c r="J123" s="9" t="str">
        <f>J112</f>
        <v>Upfront Battery Purchases</v>
      </c>
      <c r="K123" s="34">
        <f>K112</f>
        <v>1634980.4399524143</v>
      </c>
    </row>
    <row r="124" spans="1:11" s="9" customFormat="1" ht="15" customHeight="1" x14ac:dyDescent="0.35">
      <c r="B124" s="9" t="s">
        <v>135</v>
      </c>
      <c r="G124" s="33">
        <v>100000</v>
      </c>
      <c r="J124" s="9" t="str">
        <f>J113</f>
        <v>Battery Test Channels</v>
      </c>
      <c r="K124" s="34">
        <f>K113</f>
        <v>700000</v>
      </c>
    </row>
    <row r="125" spans="1:11" s="9" customFormat="1" ht="15" customHeight="1" x14ac:dyDescent="0.35">
      <c r="J125" s="9" t="s">
        <v>154</v>
      </c>
      <c r="K125" s="32">
        <f>H110-SUM(K123:K124)</f>
        <v>759300</v>
      </c>
    </row>
    <row r="126" spans="1:11" s="5" customFormat="1" ht="18.75" customHeight="1" x14ac:dyDescent="0.45">
      <c r="A126" s="21" t="s">
        <v>136</v>
      </c>
      <c r="H126" s="30">
        <f>G128+G141</f>
        <v>15989002.68</v>
      </c>
      <c r="K126" s="36"/>
    </row>
    <row r="127" spans="1:11" s="9" customFormat="1" ht="15" customHeight="1" x14ac:dyDescent="0.35">
      <c r="B127" s="31" t="s">
        <v>119</v>
      </c>
      <c r="C127" s="31" t="s">
        <v>120</v>
      </c>
      <c r="D127" s="31" t="s">
        <v>121</v>
      </c>
      <c r="E127" s="31" t="s">
        <v>122</v>
      </c>
      <c r="F127" s="31" t="s">
        <v>123</v>
      </c>
      <c r="G127" s="31" t="s">
        <v>124</v>
      </c>
      <c r="H127" s="32">
        <f>G128+G141</f>
        <v>15989002.68</v>
      </c>
    </row>
    <row r="128" spans="1:11" s="9" customFormat="1" ht="15" customHeight="1" x14ac:dyDescent="0.35">
      <c r="B128" s="9" t="s">
        <v>137</v>
      </c>
      <c r="E128" s="34"/>
      <c r="F128" s="33"/>
      <c r="G128" s="33">
        <f>SUM(F129:F140)</f>
        <v>12280340</v>
      </c>
    </row>
    <row r="129" spans="1:20" s="9" customFormat="1" ht="15" customHeight="1" x14ac:dyDescent="0.35">
      <c r="C129" s="9" t="s">
        <v>138</v>
      </c>
      <c r="D129" s="6">
        <f>C55</f>
        <v>199</v>
      </c>
      <c r="E129" s="37">
        <v>37860</v>
      </c>
      <c r="F129" s="33">
        <f t="shared" ref="F129" si="2">E129*D129</f>
        <v>7534140</v>
      </c>
      <c r="G129" s="33"/>
      <c r="J129" s="9" t="str">
        <f>C129</f>
        <v>Test Technicians</v>
      </c>
      <c r="K129" s="32">
        <f>F129</f>
        <v>7534140</v>
      </c>
    </row>
    <row r="130" spans="1:20" s="9" customFormat="1" ht="15" customHeight="1" x14ac:dyDescent="0.35">
      <c r="C130" s="9" t="s">
        <v>171</v>
      </c>
      <c r="D130" s="6">
        <f>C56</f>
        <v>8</v>
      </c>
      <c r="E130" s="37">
        <v>32660</v>
      </c>
      <c r="F130" s="33">
        <f t="shared" ref="F130:F140" si="3">E130*D130</f>
        <v>261280</v>
      </c>
      <c r="G130" s="33"/>
      <c r="J130" s="9" t="str">
        <f>C134</f>
        <v>Electrical Engineers</v>
      </c>
      <c r="K130" s="32">
        <f>F134</f>
        <v>933800</v>
      </c>
      <c r="Q130" s="85"/>
    </row>
    <row r="131" spans="1:20" s="9" customFormat="1" ht="15" customHeight="1" x14ac:dyDescent="0.35">
      <c r="C131" s="9" t="s">
        <v>172</v>
      </c>
      <c r="D131" s="6">
        <f>C57</f>
        <v>2</v>
      </c>
      <c r="E131" s="37">
        <v>33490</v>
      </c>
      <c r="F131" s="33">
        <f t="shared" si="3"/>
        <v>66980</v>
      </c>
      <c r="G131" s="33"/>
      <c r="J131" s="9" t="str">
        <f>C135</f>
        <v>Sales/Logistics Reps</v>
      </c>
      <c r="K131" s="32">
        <f>F135</f>
        <v>856100</v>
      </c>
    </row>
    <row r="132" spans="1:20" s="9" customFormat="1" ht="15" customHeight="1" x14ac:dyDescent="0.35">
      <c r="C132" s="9" t="s">
        <v>170</v>
      </c>
      <c r="D132" s="6">
        <f>C58</f>
        <v>21</v>
      </c>
      <c r="E132" s="37">
        <v>58150</v>
      </c>
      <c r="F132" s="33">
        <f t="shared" si="3"/>
        <v>1221150</v>
      </c>
      <c r="G132" s="33"/>
      <c r="J132" s="9" t="str">
        <f>C132</f>
        <v>Technician Supervisors</v>
      </c>
      <c r="K132" s="32">
        <f>F132</f>
        <v>1221150</v>
      </c>
    </row>
    <row r="133" spans="1:20" s="9" customFormat="1" ht="15" customHeight="1" x14ac:dyDescent="0.35">
      <c r="C133" s="9" t="s">
        <v>139</v>
      </c>
      <c r="D133" s="6">
        <f>C62</f>
        <v>1</v>
      </c>
      <c r="E133" s="37">
        <v>178400</v>
      </c>
      <c r="F133" s="33">
        <f t="shared" si="3"/>
        <v>178400</v>
      </c>
      <c r="G133" s="33"/>
      <c r="J133" s="9" t="str">
        <f>C133</f>
        <v>Chief Executive</v>
      </c>
      <c r="K133" s="32">
        <f>F133</f>
        <v>178400</v>
      </c>
    </row>
    <row r="134" spans="1:20" s="9" customFormat="1" ht="15" customHeight="1" x14ac:dyDescent="0.35">
      <c r="C134" s="9" t="s">
        <v>173</v>
      </c>
      <c r="D134" s="6">
        <f>C60</f>
        <v>10</v>
      </c>
      <c r="E134" s="37">
        <v>93380</v>
      </c>
      <c r="F134" s="33">
        <f t="shared" si="3"/>
        <v>933800</v>
      </c>
      <c r="G134" s="33"/>
      <c r="J134" s="9" t="str">
        <f>C130</f>
        <v>Forklift Drivers</v>
      </c>
      <c r="K134" s="32">
        <f>F130</f>
        <v>261280</v>
      </c>
    </row>
    <row r="135" spans="1:20" s="9" customFormat="1" ht="15" customHeight="1" x14ac:dyDescent="0.35">
      <c r="C135" s="9" t="s">
        <v>174</v>
      </c>
      <c r="D135" s="6">
        <f>C59</f>
        <v>10</v>
      </c>
      <c r="E135" s="37">
        <v>85610</v>
      </c>
      <c r="F135" s="33">
        <f t="shared" si="3"/>
        <v>856100</v>
      </c>
      <c r="G135" s="33"/>
      <c r="J135" s="9" t="str">
        <f>C139</f>
        <v>Operations Manager</v>
      </c>
      <c r="K135" s="32">
        <f>F139</f>
        <v>116090</v>
      </c>
    </row>
    <row r="136" spans="1:20" s="9" customFormat="1" ht="15" customHeight="1" x14ac:dyDescent="0.35">
      <c r="C136" s="9" t="s">
        <v>175</v>
      </c>
      <c r="D136" s="6">
        <f>C63</f>
        <v>9</v>
      </c>
      <c r="E136" s="37">
        <v>34000</v>
      </c>
      <c r="F136" s="33">
        <f t="shared" si="3"/>
        <v>306000</v>
      </c>
      <c r="G136" s="33"/>
      <c r="J136" s="9" t="str">
        <f>C136</f>
        <v>Administrative Assistants</v>
      </c>
      <c r="K136" s="32">
        <f>F136</f>
        <v>306000</v>
      </c>
    </row>
    <row r="137" spans="1:20" s="9" customFormat="1" ht="15" customHeight="1" x14ac:dyDescent="0.35">
      <c r="C137" s="58" t="s">
        <v>140</v>
      </c>
      <c r="D137" s="86">
        <f>C65</f>
        <v>0</v>
      </c>
      <c r="E137" s="77">
        <v>27550</v>
      </c>
      <c r="F137" s="60">
        <f t="shared" si="3"/>
        <v>0</v>
      </c>
      <c r="G137" s="33"/>
      <c r="J137" s="9" t="str">
        <f>C138</f>
        <v>Human Resources Manager</v>
      </c>
      <c r="K137" s="32">
        <f>F138</f>
        <v>806400</v>
      </c>
    </row>
    <row r="138" spans="1:20" s="9" customFormat="1" ht="15" customHeight="1" x14ac:dyDescent="0.35">
      <c r="C138" s="6" t="s">
        <v>181</v>
      </c>
      <c r="D138" s="6">
        <f>C64</f>
        <v>8</v>
      </c>
      <c r="E138" s="37">
        <v>100800</v>
      </c>
      <c r="F138" s="33">
        <f t="shared" si="3"/>
        <v>806400</v>
      </c>
      <c r="G138" s="33"/>
      <c r="J138" s="9" t="str">
        <f>C131</f>
        <v>Truck Drivers</v>
      </c>
      <c r="K138" s="32">
        <f>F131</f>
        <v>66980</v>
      </c>
      <c r="M138" s="10"/>
    </row>
    <row r="139" spans="1:20" s="9" customFormat="1" ht="15" customHeight="1" x14ac:dyDescent="0.35">
      <c r="C139" s="6" t="s">
        <v>141</v>
      </c>
      <c r="D139" s="6">
        <f>C61</f>
        <v>1</v>
      </c>
      <c r="E139" s="40">
        <v>116090</v>
      </c>
      <c r="F139" s="33">
        <f t="shared" si="3"/>
        <v>116090</v>
      </c>
      <c r="G139" s="33"/>
      <c r="H139" s="6"/>
    </row>
    <row r="140" spans="1:20" s="9" customFormat="1" ht="15" customHeight="1" x14ac:dyDescent="0.35">
      <c r="C140" s="58" t="s">
        <v>187</v>
      </c>
      <c r="D140" s="86">
        <f>C66</f>
        <v>0</v>
      </c>
      <c r="E140" s="78">
        <v>25140</v>
      </c>
      <c r="F140" s="60">
        <f t="shared" si="3"/>
        <v>0</v>
      </c>
      <c r="G140" s="39"/>
      <c r="H140" s="6"/>
    </row>
    <row r="141" spans="1:20" s="9" customFormat="1" ht="15" customHeight="1" x14ac:dyDescent="0.35">
      <c r="B141" s="9" t="s">
        <v>142</v>
      </c>
      <c r="D141" s="12">
        <v>0.30199999999999999</v>
      </c>
      <c r="E141" s="33">
        <f>G128</f>
        <v>12280340</v>
      </c>
      <c r="F141" s="33"/>
      <c r="G141" s="33">
        <f>D141*E141</f>
        <v>3708662.6799999997</v>
      </c>
      <c r="H141" s="35"/>
      <c r="I141" s="6"/>
      <c r="K141" s="32"/>
      <c r="T141" s="10"/>
    </row>
    <row r="142" spans="1:20" s="9" customFormat="1" ht="15" customHeight="1" x14ac:dyDescent="0.35">
      <c r="J142" s="34"/>
    </row>
    <row r="143" spans="1:20" s="5" customFormat="1" ht="18.75" customHeight="1" x14ac:dyDescent="0.45">
      <c r="A143" s="21" t="s">
        <v>143</v>
      </c>
      <c r="H143" s="30">
        <f>G145+G154</f>
        <v>42329941.62441621</v>
      </c>
    </row>
    <row r="144" spans="1:20" s="9" customFormat="1" ht="15" customHeight="1" x14ac:dyDescent="0.35">
      <c r="B144" s="31" t="s">
        <v>119</v>
      </c>
      <c r="C144" s="31" t="s">
        <v>120</v>
      </c>
      <c r="D144" s="31" t="s">
        <v>121</v>
      </c>
      <c r="E144" s="31" t="s">
        <v>122</v>
      </c>
      <c r="F144" s="31" t="s">
        <v>123</v>
      </c>
      <c r="G144" s="31" t="s">
        <v>124</v>
      </c>
    </row>
    <row r="145" spans="2:11" s="9" customFormat="1" ht="15" customHeight="1" x14ac:dyDescent="0.35">
      <c r="B145" s="9" t="s">
        <v>144</v>
      </c>
      <c r="E145" s="34"/>
      <c r="F145" s="34"/>
      <c r="G145" s="33">
        <f>SUM(F146:F153)</f>
        <v>36159827.891971804</v>
      </c>
    </row>
    <row r="146" spans="2:11" s="9" customFormat="1" ht="15" customHeight="1" x14ac:dyDescent="0.35">
      <c r="C146" s="9" t="s">
        <v>145</v>
      </c>
      <c r="D146" s="6">
        <f>C19</f>
        <v>200000</v>
      </c>
      <c r="E146" s="41">
        <v>98.098826397144848</v>
      </c>
      <c r="F146" s="33">
        <f>E146*D146</f>
        <v>19619765.27942897</v>
      </c>
      <c r="G146" s="33"/>
      <c r="H146" s="42">
        <f>F146/H143</f>
        <v>0.46349615724752502</v>
      </c>
    </row>
    <row r="147" spans="2:11" s="9" customFormat="1" ht="15" customHeight="1" x14ac:dyDescent="0.35">
      <c r="C147" s="35" t="s">
        <v>146</v>
      </c>
      <c r="D147" s="38">
        <v>0</v>
      </c>
      <c r="E147" s="39">
        <v>250</v>
      </c>
      <c r="F147" s="39">
        <f>E147*D147</f>
        <v>0</v>
      </c>
      <c r="G147" s="33"/>
      <c r="H147" s="9">
        <f>Batt_Buy_Cost/24</f>
        <v>4.0874510998810356</v>
      </c>
      <c r="J147" s="9" t="s">
        <v>147</v>
      </c>
      <c r="K147" s="32">
        <f>F146</f>
        <v>19619765.27942897</v>
      </c>
    </row>
    <row r="148" spans="2:11" s="9" customFormat="1" ht="15" customHeight="1" x14ac:dyDescent="0.35">
      <c r="C148" s="9" t="s">
        <v>148</v>
      </c>
      <c r="E148" s="34"/>
      <c r="F148" s="33">
        <f>H126</f>
        <v>15989002.68</v>
      </c>
      <c r="G148" s="33"/>
      <c r="H148" s="32">
        <f>(F148+F146)/H143</f>
        <v>0.84121939678956648</v>
      </c>
      <c r="J148" s="9" t="s">
        <v>148</v>
      </c>
      <c r="K148" s="32">
        <f>F148</f>
        <v>15989002.68</v>
      </c>
    </row>
    <row r="149" spans="2:11" s="9" customFormat="1" ht="15" customHeight="1" x14ac:dyDescent="0.35">
      <c r="C149" s="9" t="s">
        <v>149</v>
      </c>
      <c r="D149" s="6">
        <f>H69</f>
        <v>15019.034120734908</v>
      </c>
      <c r="E149" s="76">
        <v>9.6999999999999993</v>
      </c>
      <c r="F149" s="33">
        <f>E149*D149</f>
        <v>145684.63097112859</v>
      </c>
      <c r="G149" s="33"/>
      <c r="H149" s="33"/>
      <c r="J149" s="9" t="s">
        <v>176</v>
      </c>
      <c r="K149" s="32">
        <f>SUM(F150:F151)</f>
        <v>98328.5015717153</v>
      </c>
    </row>
    <row r="150" spans="2:11" s="9" customFormat="1" ht="15" customHeight="1" x14ac:dyDescent="0.35">
      <c r="C150" s="9" t="s">
        <v>188</v>
      </c>
      <c r="D150" s="6">
        <f>C45</f>
        <v>617647.0588235294</v>
      </c>
      <c r="E150" s="76">
        <v>0.104</v>
      </c>
      <c r="F150" s="33">
        <f>E150*D150</f>
        <v>64235.294117647056</v>
      </c>
      <c r="G150" s="33"/>
      <c r="H150" s="33"/>
      <c r="J150" s="6" t="s">
        <v>150</v>
      </c>
      <c r="K150" s="32">
        <f>F157</f>
        <v>2192532.6643275088</v>
      </c>
    </row>
    <row r="151" spans="2:11" s="9" customFormat="1" ht="15" customHeight="1" x14ac:dyDescent="0.35">
      <c r="C151" s="9" t="s">
        <v>189</v>
      </c>
      <c r="D151" s="6">
        <f>H69</f>
        <v>15019.034120734908</v>
      </c>
      <c r="E151" s="76">
        <v>2.27</v>
      </c>
      <c r="F151" s="33">
        <f>E151*D151</f>
        <v>34093.207454068244</v>
      </c>
      <c r="G151" s="33"/>
      <c r="H151" s="33"/>
      <c r="J151" s="6" t="s">
        <v>151</v>
      </c>
      <c r="K151" s="32">
        <f>F156</f>
        <v>1807991.3945985902</v>
      </c>
    </row>
    <row r="152" spans="2:11" s="9" customFormat="1" ht="15" customHeight="1" x14ac:dyDescent="0.35">
      <c r="C152" s="9" t="s">
        <v>28</v>
      </c>
      <c r="D152" s="6">
        <f>C35</f>
        <v>122880</v>
      </c>
      <c r="E152" s="33">
        <f>C28</f>
        <v>0.5</v>
      </c>
      <c r="F152" s="33">
        <f>E152*D152</f>
        <v>61440</v>
      </c>
      <c r="G152" s="33"/>
      <c r="H152" s="33"/>
      <c r="J152" s="6" t="s">
        <v>156</v>
      </c>
      <c r="K152" s="32">
        <f>F158</f>
        <v>1084794.836759154</v>
      </c>
    </row>
    <row r="153" spans="2:11" s="9" customFormat="1" ht="15" customHeight="1" x14ac:dyDescent="0.35">
      <c r="C153" s="9" t="s">
        <v>153</v>
      </c>
      <c r="D153" s="6">
        <v>0.02</v>
      </c>
      <c r="E153" s="33">
        <f>G128</f>
        <v>12280340</v>
      </c>
      <c r="F153" s="33">
        <f>E153*D153</f>
        <v>245606.80000000002</v>
      </c>
      <c r="G153" s="33"/>
      <c r="H153" s="6"/>
      <c r="J153" s="9" t="s">
        <v>152</v>
      </c>
      <c r="K153" s="32">
        <f>F155</f>
        <v>1084794.836759154</v>
      </c>
    </row>
    <row r="154" spans="2:11" s="9" customFormat="1" ht="15" customHeight="1" x14ac:dyDescent="0.35">
      <c r="B154" s="9" t="s">
        <v>155</v>
      </c>
      <c r="E154" s="33"/>
      <c r="F154" s="33"/>
      <c r="G154" s="33">
        <f>SUM(F155:F158)</f>
        <v>6170113.7324444065</v>
      </c>
      <c r="H154" s="6"/>
      <c r="J154" s="6" t="s">
        <v>154</v>
      </c>
      <c r="K154" s="32">
        <f>H143-SUM(K147:K153)</f>
        <v>452731.43097111583</v>
      </c>
    </row>
    <row r="155" spans="2:11" s="9" customFormat="1" ht="15" customHeight="1" x14ac:dyDescent="0.35">
      <c r="C155" s="9" t="s">
        <v>152</v>
      </c>
      <c r="D155" s="12">
        <v>0.03</v>
      </c>
      <c r="E155" s="33">
        <f>G145</f>
        <v>36159827.891971804</v>
      </c>
      <c r="F155" s="33">
        <f>E155*D155</f>
        <v>1084794.836759154</v>
      </c>
      <c r="G155" s="33"/>
      <c r="H155" s="6"/>
    </row>
    <row r="156" spans="2:11" s="9" customFormat="1" ht="15" customHeight="1" x14ac:dyDescent="0.35">
      <c r="C156" s="9" t="s">
        <v>151</v>
      </c>
      <c r="D156" s="12">
        <v>0.05</v>
      </c>
      <c r="E156" s="33">
        <f>G145</f>
        <v>36159827.891971804</v>
      </c>
      <c r="F156" s="33">
        <f>E156*D156</f>
        <v>1807991.3945985902</v>
      </c>
      <c r="G156" s="33"/>
      <c r="H156" s="6"/>
      <c r="J156" s="6" t="s">
        <v>144</v>
      </c>
      <c r="K156" s="32">
        <f>SUM(F146:F153)</f>
        <v>36159827.891971804</v>
      </c>
    </row>
    <row r="157" spans="2:11" s="9" customFormat="1" ht="15" customHeight="1" x14ac:dyDescent="0.35">
      <c r="C157" s="9" t="s">
        <v>150</v>
      </c>
      <c r="D157" s="12">
        <v>0.05</v>
      </c>
      <c r="E157" s="33">
        <f>C167*C18*C15</f>
        <v>43850653.286550172</v>
      </c>
      <c r="F157" s="33">
        <f>E157*D157</f>
        <v>2192532.6643275088</v>
      </c>
      <c r="G157" s="33"/>
      <c r="H157" s="6"/>
      <c r="I157" s="43"/>
      <c r="J157" s="6" t="s">
        <v>155</v>
      </c>
      <c r="K157" s="32">
        <f>H143-K156</f>
        <v>6170113.7324444056</v>
      </c>
    </row>
    <row r="158" spans="2:11" s="9" customFormat="1" ht="15" customHeight="1" x14ac:dyDescent="0.35">
      <c r="C158" s="27" t="s">
        <v>156</v>
      </c>
      <c r="D158" s="12">
        <v>0.03</v>
      </c>
      <c r="E158" s="33">
        <f>G145</f>
        <v>36159827.891971804</v>
      </c>
      <c r="F158" s="33">
        <f>E158*D158</f>
        <v>1084794.836759154</v>
      </c>
      <c r="G158" s="33"/>
      <c r="H158" s="27"/>
      <c r="K158" s="32"/>
    </row>
    <row r="159" spans="2:11" s="9" customFormat="1" ht="15" customHeight="1" x14ac:dyDescent="0.35">
      <c r="D159" s="27"/>
      <c r="E159" s="33"/>
      <c r="F159" s="33"/>
      <c r="G159" s="33"/>
      <c r="H159" s="27"/>
      <c r="K159" s="32"/>
    </row>
    <row r="160" spans="2:11" s="9" customFormat="1" x14ac:dyDescent="0.35">
      <c r="D160" s="6"/>
    </row>
    <row r="161" spans="1:37" s="5" customFormat="1" ht="18.5" x14ac:dyDescent="0.45">
      <c r="A161" s="21" t="s">
        <v>157</v>
      </c>
      <c r="L161" s="44"/>
      <c r="M161" s="44"/>
      <c r="N161" s="44"/>
      <c r="O161" s="44"/>
    </row>
    <row r="162" spans="1:37" s="9" customFormat="1" x14ac:dyDescent="0.35">
      <c r="B162" s="9" t="s">
        <v>158</v>
      </c>
      <c r="C162" s="33">
        <f>C15*C2</f>
        <v>220</v>
      </c>
      <c r="D162" s="6" t="s">
        <v>159</v>
      </c>
      <c r="E162" s="48" t="s">
        <v>0</v>
      </c>
      <c r="F162" s="48" t="s">
        <v>161</v>
      </c>
      <c r="G162" s="48" t="s">
        <v>162</v>
      </c>
      <c r="H162" s="48" t="s">
        <v>163</v>
      </c>
      <c r="I162" s="48" t="s">
        <v>177</v>
      </c>
      <c r="J162" s="48" t="s">
        <v>164</v>
      </c>
      <c r="K162" s="48" t="s">
        <v>165</v>
      </c>
      <c r="L162" s="6"/>
      <c r="M162" s="6"/>
      <c r="N162" s="6"/>
      <c r="O162" s="6"/>
    </row>
    <row r="163" spans="1:37" s="9" customFormat="1" x14ac:dyDescent="0.35">
      <c r="B163" s="9" t="s">
        <v>185</v>
      </c>
      <c r="C163" s="79">
        <v>0.15</v>
      </c>
      <c r="D163" s="6"/>
      <c r="E163" s="6">
        <v>0</v>
      </c>
      <c r="F163" s="33">
        <f>H110</f>
        <v>3094280.4399524145</v>
      </c>
      <c r="G163" s="33">
        <v>0</v>
      </c>
      <c r="H163" s="33">
        <v>0</v>
      </c>
      <c r="J163" s="33">
        <f>-F163</f>
        <v>-3094280.4399524145</v>
      </c>
      <c r="K163" s="49">
        <f>SUM(J163:J168)</f>
        <v>2.0605511963367462E-8</v>
      </c>
      <c r="L163" s="6"/>
      <c r="M163" s="45"/>
      <c r="N163" s="45"/>
      <c r="O163" s="45"/>
      <c r="AF163" s="32"/>
      <c r="AG163" s="32"/>
      <c r="AH163" s="32"/>
      <c r="AI163" s="46"/>
    </row>
    <row r="164" spans="1:37" s="9" customFormat="1" ht="19.5" customHeight="1" x14ac:dyDescent="0.45">
      <c r="A164" s="47"/>
      <c r="B164" s="9" t="s">
        <v>160</v>
      </c>
      <c r="C164" s="79">
        <v>0.39300000000000002</v>
      </c>
      <c r="D164" s="57"/>
      <c r="E164" s="6">
        <v>1</v>
      </c>
      <c r="F164" s="33">
        <f>H$143</f>
        <v>42329941.62441621</v>
      </c>
      <c r="G164" s="33">
        <f>MAX(0,(H164-F164)*(C$164+C$165))</f>
        <v>597639.68321864703</v>
      </c>
      <c r="H164" s="33">
        <f>C$166</f>
        <v>43850653.286550172</v>
      </c>
      <c r="I164" s="32">
        <f>H164-G164-F164</f>
        <v>923071.9789153114</v>
      </c>
      <c r="J164" s="33">
        <f>(H164-G164-F164)*(1+C$163)^-E164</f>
        <v>802671.28601331438</v>
      </c>
      <c r="K164" s="33"/>
      <c r="L164" s="6"/>
      <c r="M164" s="45"/>
      <c r="N164" s="45"/>
      <c r="O164" s="45"/>
    </row>
    <row r="165" spans="1:37" s="9" customFormat="1" ht="18.5" x14ac:dyDescent="0.45">
      <c r="A165" s="47"/>
      <c r="B165" s="9" t="s">
        <v>166</v>
      </c>
      <c r="C165" s="80">
        <v>0</v>
      </c>
      <c r="D165" s="6"/>
      <c r="E165" s="6">
        <v>2</v>
      </c>
      <c r="F165" s="33">
        <f>H$143</f>
        <v>42329941.62441621</v>
      </c>
      <c r="G165" s="33">
        <f>MAX(0,(H165-F165)*(C$164+C$165))</f>
        <v>597639.68321864703</v>
      </c>
      <c r="H165" s="33">
        <f>C$166</f>
        <v>43850653.286550172</v>
      </c>
      <c r="I165" s="32">
        <f>H165-G165-F165</f>
        <v>923071.9789153114</v>
      </c>
      <c r="J165" s="33">
        <f>(H165-G165-F165)*(1+C$163)^-E165</f>
        <v>697975.03131592553</v>
      </c>
      <c r="K165" s="33"/>
      <c r="L165" s="6"/>
      <c r="M165" s="45"/>
      <c r="N165" s="45"/>
      <c r="O165" s="45"/>
      <c r="AE165" s="50"/>
    </row>
    <row r="166" spans="1:37" s="9" customFormat="1" x14ac:dyDescent="0.35">
      <c r="B166" s="9" t="s">
        <v>167</v>
      </c>
      <c r="C166" s="33">
        <f>C162*D146*C167</f>
        <v>43850653.286550172</v>
      </c>
      <c r="D166" s="6"/>
      <c r="E166" s="6">
        <v>3</v>
      </c>
      <c r="F166" s="33">
        <f>H$143</f>
        <v>42329941.62441621</v>
      </c>
      <c r="G166" s="33">
        <f>MAX(0,(H166-F166)*(C$164+C$165))</f>
        <v>597639.68321864703</v>
      </c>
      <c r="H166" s="33">
        <f>C$166</f>
        <v>43850653.286550172</v>
      </c>
      <c r="I166" s="32">
        <f>H166-G166-F166</f>
        <v>923071.9789153114</v>
      </c>
      <c r="J166" s="33">
        <f>(H166-G166-F166)*(1+C$163)^-E166</f>
        <v>606934.80983993527</v>
      </c>
      <c r="K166" s="33"/>
      <c r="L166" s="6"/>
      <c r="M166" s="45"/>
      <c r="N166" s="45"/>
      <c r="O166" s="45"/>
    </row>
    <row r="167" spans="1:37" s="9" customFormat="1" x14ac:dyDescent="0.35">
      <c r="B167" s="6" t="s">
        <v>168</v>
      </c>
      <c r="C167" s="87">
        <f>(1-C14)^(C2*C13)</f>
        <v>0.99660575651250383</v>
      </c>
      <c r="E167" s="6">
        <v>4</v>
      </c>
      <c r="F167" s="33">
        <f>H$143</f>
        <v>42329941.62441621</v>
      </c>
      <c r="G167" s="33">
        <f>MAX(0,(H167-F167)*(C$164+C$165))</f>
        <v>597639.68321864703</v>
      </c>
      <c r="H167" s="33">
        <f>C$166</f>
        <v>43850653.286550172</v>
      </c>
      <c r="I167" s="32">
        <f>H167-G167-F167</f>
        <v>923071.9789153114</v>
      </c>
      <c r="J167" s="33">
        <f>(H167-G167-F167)*(1+C$163)^-E167</f>
        <v>527769.3998608134</v>
      </c>
      <c r="K167" s="33"/>
      <c r="L167" s="6"/>
      <c r="M167" s="45"/>
      <c r="N167" s="45"/>
      <c r="O167" s="45"/>
    </row>
    <row r="168" spans="1:37" s="9" customFormat="1" x14ac:dyDescent="0.35">
      <c r="B168" s="6"/>
      <c r="E168" s="6">
        <v>5</v>
      </c>
      <c r="F168" s="33">
        <f>H$143</f>
        <v>42329941.62441621</v>
      </c>
      <c r="G168" s="33">
        <f>MAX(0,(H168-F168)*(C$164+C$165))</f>
        <v>597639.68321864703</v>
      </c>
      <c r="H168" s="33">
        <f>C$166</f>
        <v>43850653.286550172</v>
      </c>
      <c r="I168" s="32">
        <f>H168-G168-F168</f>
        <v>923071.9789153114</v>
      </c>
      <c r="J168" s="33">
        <f>(H168-G168-F168)*(1+C$163)^-E168</f>
        <v>458929.91292244638</v>
      </c>
      <c r="K168" s="33"/>
      <c r="L168" s="6"/>
      <c r="M168" s="45"/>
      <c r="N168" s="45"/>
      <c r="O168" s="45"/>
    </row>
    <row r="169" spans="1:37" s="5" customFormat="1" ht="18.5" x14ac:dyDescent="0.45">
      <c r="A169" s="21" t="s">
        <v>193</v>
      </c>
      <c r="L169" s="44"/>
      <c r="M169" s="44"/>
      <c r="N169" s="44"/>
      <c r="O169" s="44"/>
    </row>
    <row r="170" spans="1:37" x14ac:dyDescent="0.35">
      <c r="A170" s="6"/>
      <c r="B170" s="27" t="s">
        <v>191</v>
      </c>
      <c r="C170" s="83">
        <f>Batt_Buy_Cost/C2</f>
        <v>19.619765279428968</v>
      </c>
      <c r="D170" s="3"/>
      <c r="E170" s="51"/>
      <c r="F170" s="23"/>
      <c r="G170" s="52"/>
      <c r="H170" s="52"/>
      <c r="I170" s="52"/>
      <c r="AB170" s="9"/>
      <c r="AC170" s="9"/>
      <c r="AD170" s="9"/>
      <c r="AE170" s="9"/>
      <c r="AF170" s="32"/>
      <c r="AG170" s="32"/>
      <c r="AH170" s="32"/>
      <c r="AI170" s="46"/>
      <c r="AJ170" s="9"/>
      <c r="AK170" s="9"/>
    </row>
    <row r="171" spans="1:37" x14ac:dyDescent="0.35">
      <c r="B171" s="27" t="s">
        <v>192</v>
      </c>
      <c r="C171" s="84">
        <f>(C162-E146)/C2</f>
        <v>24.380234720571032</v>
      </c>
      <c r="D171" s="48"/>
      <c r="E171" s="53"/>
      <c r="F171" s="61"/>
      <c r="G171" s="62"/>
      <c r="H171" s="62"/>
      <c r="I171" s="62"/>
      <c r="J171" s="62"/>
      <c r="AB171" s="9"/>
      <c r="AC171" s="9"/>
      <c r="AD171" s="9"/>
      <c r="AE171" s="9"/>
      <c r="AF171" s="32"/>
      <c r="AG171" s="32"/>
      <c r="AH171" s="32"/>
      <c r="AI171" s="46"/>
      <c r="AJ171" s="9"/>
      <c r="AK171" s="9"/>
    </row>
    <row r="172" spans="1:37" x14ac:dyDescent="0.35">
      <c r="D172" s="48"/>
      <c r="E172" s="54"/>
      <c r="F172" s="61"/>
      <c r="G172" s="62"/>
      <c r="H172" s="62"/>
      <c r="I172" s="62"/>
      <c r="J172" s="62"/>
      <c r="AB172" s="9"/>
      <c r="AC172" s="9"/>
      <c r="AD172" s="9"/>
      <c r="AE172" s="50"/>
      <c r="AF172" s="55"/>
      <c r="AG172" s="55"/>
      <c r="AH172" s="55"/>
      <c r="AI172" s="56"/>
      <c r="AJ172" s="9"/>
      <c r="AK172" s="9"/>
    </row>
    <row r="173" spans="1:37" x14ac:dyDescent="0.35">
      <c r="B173" s="48"/>
      <c r="C173" s="54"/>
      <c r="D173" s="48"/>
      <c r="E173" s="54"/>
      <c r="F173" s="61"/>
      <c r="G173" s="62"/>
      <c r="H173" s="62"/>
      <c r="I173" s="62"/>
      <c r="J173" s="62"/>
      <c r="AB173" s="9"/>
      <c r="AC173" s="9"/>
      <c r="AD173" s="9"/>
      <c r="AE173" s="9"/>
      <c r="AF173" s="32"/>
      <c r="AG173" s="32"/>
      <c r="AH173" s="32"/>
      <c r="AI173" s="46"/>
      <c r="AJ173" s="9"/>
      <c r="AK173" s="9"/>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SeekBuyPrice">
                <anchor moveWithCells="1" sizeWithCells="1">
                  <from>
                    <xdr:col>0</xdr:col>
                    <xdr:colOff>450850</xdr:colOff>
                    <xdr:row>169</xdr:row>
                    <xdr:rowOff>177800</xdr:rowOff>
                  </from>
                  <to>
                    <xdr:col>0</xdr:col>
                    <xdr:colOff>1720850</xdr:colOff>
                    <xdr:row>172</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Use Agreement</vt:lpstr>
      <vt:lpstr>Repurposing</vt:lpstr>
      <vt:lpstr>Batt_Buy_Cost</vt:lpstr>
      <vt:lpstr>Total_NPV</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NREL</dc:creator>
  <cp:lastModifiedBy>Wheasler, Jean</cp:lastModifiedBy>
  <dcterms:created xsi:type="dcterms:W3CDTF">2014-08-25T18:41:09Z</dcterms:created>
  <dcterms:modified xsi:type="dcterms:W3CDTF">2020-06-03T17:18:25Z</dcterms:modified>
</cp:coreProperties>
</file>