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omments4.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208"/>
  <workbookPr codeName="ThisWorkbook" defaultThemeVersion="124226"/>
  <mc:AlternateContent xmlns:mc="http://schemas.openxmlformats.org/markup-compatibility/2006">
    <mc:Choice Requires="x15">
      <x15ac:absPath xmlns:x15ac="http://schemas.microsoft.com/office/spreadsheetml/2010/11/ac" url="/Users/hdreves/Desktop/2018_11 FinanceRE Site Redesign/CREST Spreadsheets/"/>
    </mc:Choice>
  </mc:AlternateContent>
  <xr:revisionPtr revIDLastSave="0" documentId="13_ncr:1_{076DA6AC-34EF-D042-B4CD-C5D6E3395F28}" xr6:coauthVersionLast="40" xr6:coauthVersionMax="40" xr10:uidLastSave="{00000000-0000-0000-0000-000000000000}"/>
  <bookViews>
    <workbookView xWindow="1600" yWindow="460" windowWidth="19600" windowHeight="9640" tabRatio="725" xr2:uid="{00000000-000D-0000-FFFF-FFFF00000000}"/>
  </bookViews>
  <sheets>
    <sheet name="Introduction" sheetId="6" r:id="rId1"/>
    <sheet name="Inputs" sheetId="7" r:id="rId2"/>
    <sheet name="Summary Results" sheetId="9" r:id="rId3"/>
    <sheet name="Annual Cash Flows &amp; Returns" sheetId="10" r:id="rId4"/>
    <sheet name="Cash Flow" sheetId="11" r:id="rId5"/>
    <sheet name="Complex Inputs" sheetId="12" r:id="rId6"/>
  </sheets>
  <definedNames>
    <definedName name="_ftn1" localSheetId="1">Inputs!#REF!</definedName>
    <definedName name="_ftnref1" localSheetId="1">Inputs!$E$97</definedName>
    <definedName name="_xlnm.Print_Area" localSheetId="0">Introduction!$B$2:$D$43</definedName>
    <definedName name="solver_adj" localSheetId="1" hidden="1">Inputs!$G$57</definedName>
    <definedName name="solver_cvg" localSheetId="1" hidden="1">0.0001</definedName>
    <definedName name="solver_drv" localSheetId="1" hidden="1">1</definedName>
    <definedName name="solver_est" localSheetId="1" hidden="1">1</definedName>
    <definedName name="solver_itr" localSheetId="1" hidden="1">100</definedName>
    <definedName name="solver_lhs1" localSheetId="1" hidden="1">Inputs!$G$62</definedName>
    <definedName name="solver_lhs2" localSheetId="1" hidden="1">Inputs!$G$65</definedName>
    <definedName name="solver_lin" localSheetId="1" hidden="1">2</definedName>
    <definedName name="solver_neg" localSheetId="1" hidden="1">2</definedName>
    <definedName name="solver_num" localSheetId="1" hidden="1">2</definedName>
    <definedName name="solver_nwt" localSheetId="1" hidden="1">1</definedName>
    <definedName name="solver_opt" localSheetId="1" hidden="1">Inputs!$U$65</definedName>
    <definedName name="solver_pre" localSheetId="1" hidden="1">0.000001</definedName>
    <definedName name="solver_rel1" localSheetId="1" hidden="1">3</definedName>
    <definedName name="solver_rel2" localSheetId="1" hidden="1">3</definedName>
    <definedName name="solver_rhs1" localSheetId="1" hidden="1">Inputs!$G$61</definedName>
    <definedName name="solver_rhs2" localSheetId="1" hidden="1">Inputs!$G$64</definedName>
    <definedName name="solver_scl" localSheetId="1" hidden="1">2</definedName>
    <definedName name="solver_sho" localSheetId="1" hidden="1">2</definedName>
    <definedName name="solver_tim" localSheetId="1" hidden="1">100</definedName>
    <definedName name="solver_tol" localSheetId="1" hidden="1">0.05</definedName>
    <definedName name="solver_typ" localSheetId="1" hidden="1">2</definedName>
    <definedName name="solver_val" localSheetId="1" hidden="1">0</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11" i="7" l="1"/>
  <c r="D35" i="9"/>
  <c r="D36" i="9"/>
  <c r="D33" i="9"/>
  <c r="C34" i="9"/>
  <c r="C35" i="9"/>
  <c r="C36" i="9"/>
  <c r="C33" i="9"/>
  <c r="B34" i="9"/>
  <c r="B35" i="9"/>
  <c r="B36" i="9"/>
  <c r="B33" i="9"/>
  <c r="AA41" i="11" l="1"/>
  <c r="AB41" i="11"/>
  <c r="AC41" i="11"/>
  <c r="AD41" i="11"/>
  <c r="AE41" i="11"/>
  <c r="AF41" i="11"/>
  <c r="AG41" i="11"/>
  <c r="AH41" i="11"/>
  <c r="AI41" i="11"/>
  <c r="AJ41" i="11"/>
  <c r="AA10" i="11"/>
  <c r="AB10" i="11"/>
  <c r="AC10" i="11"/>
  <c r="AD10" i="11"/>
  <c r="AE10" i="11"/>
  <c r="AF10" i="11"/>
  <c r="AG10" i="11"/>
  <c r="AH10" i="11"/>
  <c r="AI10" i="11"/>
  <c r="AJ10" i="11"/>
  <c r="AA8" i="11"/>
  <c r="AA9" i="11" s="1"/>
  <c r="AB8" i="11"/>
  <c r="AB9" i="11" s="1"/>
  <c r="AC8" i="11"/>
  <c r="AC9" i="11" s="1"/>
  <c r="AD8" i="11"/>
  <c r="AD9" i="11" s="1"/>
  <c r="AE8" i="11"/>
  <c r="AE9" i="11" s="1"/>
  <c r="AF8" i="11"/>
  <c r="AF9" i="11" s="1"/>
  <c r="AG8" i="11"/>
  <c r="AG9" i="11" s="1"/>
  <c r="AH8" i="11"/>
  <c r="AH9" i="11" s="1"/>
  <c r="AI8" i="11"/>
  <c r="AI9" i="11" s="1"/>
  <c r="AJ8" i="11"/>
  <c r="AJ9" i="11" s="1"/>
  <c r="AA7" i="11"/>
  <c r="AB7" i="11"/>
  <c r="AC7" i="11"/>
  <c r="AD7" i="11"/>
  <c r="AE7" i="11"/>
  <c r="AF7" i="11"/>
  <c r="AG7" i="11"/>
  <c r="AH7" i="11"/>
  <c r="AI7" i="11"/>
  <c r="AJ7" i="11"/>
  <c r="G6" i="11"/>
  <c r="G9" i="7"/>
  <c r="Q55" i="7"/>
  <c r="Q57" i="7" s="1"/>
  <c r="G7" i="11" l="1"/>
  <c r="G8" i="11" s="1"/>
  <c r="Q59" i="7"/>
  <c r="Q61" i="7" s="1"/>
  <c r="O5" i="11" l="1"/>
  <c r="AG5" i="11"/>
  <c r="X5" i="11"/>
  <c r="P5" i="11"/>
  <c r="AF5" i="11"/>
  <c r="K5" i="11"/>
  <c r="AA5" i="11"/>
  <c r="L5" i="11"/>
  <c r="T5" i="11"/>
  <c r="AB5" i="11"/>
  <c r="AJ5" i="11"/>
  <c r="G9" i="11"/>
  <c r="G10" i="11" s="1"/>
  <c r="G16" i="7" s="1"/>
  <c r="G13" i="7"/>
  <c r="M5" i="11"/>
  <c r="W5" i="11"/>
  <c r="AC5" i="11"/>
  <c r="J5" i="11"/>
  <c r="N5" i="11"/>
  <c r="R5" i="11"/>
  <c r="V5" i="11"/>
  <c r="Z5" i="11"/>
  <c r="AD5" i="11"/>
  <c r="AH5" i="11"/>
  <c r="H5" i="11"/>
  <c r="S5" i="11"/>
  <c r="AI5" i="11"/>
  <c r="Y5" i="11"/>
  <c r="Q5" i="11"/>
  <c r="U5" i="11"/>
  <c r="AE5" i="11"/>
  <c r="I5" i="11"/>
  <c r="H4" i="11"/>
  <c r="N89" i="7"/>
  <c r="N88" i="7"/>
  <c r="N87" i="7"/>
  <c r="N86" i="7"/>
  <c r="N85" i="7"/>
  <c r="N84" i="7"/>
  <c r="AA11" i="11"/>
  <c r="AB11" i="11"/>
  <c r="AC11" i="11"/>
  <c r="AD11" i="11"/>
  <c r="AE11" i="11"/>
  <c r="AF11" i="11"/>
  <c r="AG11" i="11"/>
  <c r="AH11" i="11"/>
  <c r="AI11" i="11"/>
  <c r="AJ11" i="11"/>
  <c r="H12" i="11"/>
  <c r="I12" i="11" s="1"/>
  <c r="J12" i="11" s="1"/>
  <c r="K12" i="11" s="1"/>
  <c r="L12" i="11" s="1"/>
  <c r="M12" i="11" s="1"/>
  <c r="N12" i="11" s="1"/>
  <c r="O12" i="11" s="1"/>
  <c r="P12" i="11" s="1"/>
  <c r="Q12" i="11" s="1"/>
  <c r="R12" i="11" s="1"/>
  <c r="S12" i="11" s="1"/>
  <c r="T12" i="11" s="1"/>
  <c r="U12" i="11" s="1"/>
  <c r="V12" i="11" s="1"/>
  <c r="W12" i="11" s="1"/>
  <c r="X12" i="11" s="1"/>
  <c r="Y12" i="11" s="1"/>
  <c r="Z12" i="11" s="1"/>
  <c r="AA12" i="11" s="1"/>
  <c r="AB12" i="11" s="1"/>
  <c r="AC12" i="11" s="1"/>
  <c r="AD12" i="11" s="1"/>
  <c r="AE12" i="11" s="1"/>
  <c r="AF12" i="11" s="1"/>
  <c r="AG12" i="11" s="1"/>
  <c r="AH12" i="11" s="1"/>
  <c r="AI12" i="11" s="1"/>
  <c r="AJ12" i="11" s="1"/>
  <c r="H6" i="11" l="1"/>
  <c r="H7" i="11" s="1"/>
  <c r="D24" i="9"/>
  <c r="G41" i="11"/>
  <c r="I4" i="11"/>
  <c r="I6" i="11" s="1"/>
  <c r="I7" i="11" s="1"/>
  <c r="AI30" i="11"/>
  <c r="AG30" i="11"/>
  <c r="AE30" i="11"/>
  <c r="AC30" i="11"/>
  <c r="AA30" i="11"/>
  <c r="AJ30" i="11"/>
  <c r="AH30" i="11"/>
  <c r="AF30" i="11"/>
  <c r="AD30" i="11"/>
  <c r="AB30" i="11"/>
  <c r="H8" i="11" l="1"/>
  <c r="H9" i="11" s="1"/>
  <c r="H10" i="11" s="1"/>
  <c r="J4" i="11"/>
  <c r="J6" i="11" s="1"/>
  <c r="AA38" i="11"/>
  <c r="AB38" i="11"/>
  <c r="AC38" i="11"/>
  <c r="AD38" i="11"/>
  <c r="AE38" i="11"/>
  <c r="AF38" i="11"/>
  <c r="AG38" i="11"/>
  <c r="AH38" i="11"/>
  <c r="AI38" i="11"/>
  <c r="AJ38" i="11"/>
  <c r="G38" i="11"/>
  <c r="I8" i="11" l="1"/>
  <c r="I9" i="11" s="1"/>
  <c r="I10" i="11" s="1"/>
  <c r="K4" i="11"/>
  <c r="K6" i="11" s="1"/>
  <c r="J7" i="11"/>
  <c r="Q8" i="7"/>
  <c r="D34" i="9" s="1"/>
  <c r="H35" i="11"/>
  <c r="H41" i="11" s="1"/>
  <c r="J8" i="11" l="1"/>
  <c r="J9" i="11" s="1"/>
  <c r="J10" i="11" s="1"/>
  <c r="L4" i="11"/>
  <c r="L6" i="11" s="1"/>
  <c r="K7" i="11"/>
  <c r="I35" i="11"/>
  <c r="I41" i="11" s="1"/>
  <c r="B23" i="9"/>
  <c r="C23" i="9"/>
  <c r="D23" i="9"/>
  <c r="C22" i="9"/>
  <c r="D22" i="9"/>
  <c r="B22" i="9"/>
  <c r="C21" i="9"/>
  <c r="D21" i="9"/>
  <c r="B21" i="9"/>
  <c r="C20" i="9"/>
  <c r="D20" i="9"/>
  <c r="B20" i="9"/>
  <c r="C19" i="9"/>
  <c r="B19" i="9"/>
  <c r="K8" i="11" l="1"/>
  <c r="K9" i="11" s="1"/>
  <c r="K10" i="11" s="1"/>
  <c r="M4" i="11"/>
  <c r="M6" i="11" s="1"/>
  <c r="L7" i="11"/>
  <c r="J35" i="11"/>
  <c r="J41" i="11" s="1"/>
  <c r="T24" i="7"/>
  <c r="R24" i="7"/>
  <c r="H25" i="11"/>
  <c r="I25" i="11"/>
  <c r="J25" i="11"/>
  <c r="K25" i="11"/>
  <c r="L25" i="11"/>
  <c r="M25" i="11"/>
  <c r="N25" i="11"/>
  <c r="O25" i="11"/>
  <c r="P25" i="11"/>
  <c r="Q25" i="11"/>
  <c r="R25" i="11"/>
  <c r="S25" i="11"/>
  <c r="T25" i="11"/>
  <c r="U25" i="11"/>
  <c r="V25" i="11"/>
  <c r="W25" i="11"/>
  <c r="X25" i="11"/>
  <c r="Y25" i="11"/>
  <c r="Z25" i="11"/>
  <c r="AA25" i="11"/>
  <c r="AB25" i="11"/>
  <c r="AC25" i="11"/>
  <c r="AD25" i="11"/>
  <c r="AE25" i="11"/>
  <c r="AF25" i="11"/>
  <c r="AG25" i="11"/>
  <c r="AH25" i="11"/>
  <c r="AI25" i="11"/>
  <c r="AJ25" i="11"/>
  <c r="G25" i="11"/>
  <c r="Q180" i="11"/>
  <c r="R180" i="11"/>
  <c r="S180" i="11"/>
  <c r="T180" i="11"/>
  <c r="U180" i="11"/>
  <c r="V180" i="11"/>
  <c r="W180" i="11"/>
  <c r="X180" i="11"/>
  <c r="Y180" i="11"/>
  <c r="Z180" i="11"/>
  <c r="AA180" i="11"/>
  <c r="AB180" i="11"/>
  <c r="AC180" i="11"/>
  <c r="AD180" i="11"/>
  <c r="AE180" i="11"/>
  <c r="AF180" i="11"/>
  <c r="AG180" i="11"/>
  <c r="AH180" i="11"/>
  <c r="AI180" i="11"/>
  <c r="AJ180" i="11"/>
  <c r="H179" i="11"/>
  <c r="I179" i="11"/>
  <c r="J179" i="11"/>
  <c r="K179" i="11"/>
  <c r="L179" i="11"/>
  <c r="M179" i="11"/>
  <c r="N179" i="11"/>
  <c r="O179" i="11"/>
  <c r="P179" i="11"/>
  <c r="Q179" i="11"/>
  <c r="R179" i="11"/>
  <c r="S179" i="11"/>
  <c r="T179" i="11"/>
  <c r="U179" i="11"/>
  <c r="V179" i="11"/>
  <c r="W179" i="11"/>
  <c r="X179" i="11"/>
  <c r="Y179" i="11"/>
  <c r="Z179" i="11"/>
  <c r="AA179" i="11"/>
  <c r="AB179" i="11"/>
  <c r="AC179" i="11"/>
  <c r="AD179" i="11"/>
  <c r="AE179" i="11"/>
  <c r="AF179" i="11"/>
  <c r="AG179" i="11"/>
  <c r="AH179" i="11"/>
  <c r="AI179" i="11"/>
  <c r="AJ179" i="11"/>
  <c r="L8" i="11" l="1"/>
  <c r="L9" i="11" s="1"/>
  <c r="L10" i="11" s="1"/>
  <c r="N4" i="11"/>
  <c r="N6" i="11" s="1"/>
  <c r="M7" i="11"/>
  <c r="K35" i="11"/>
  <c r="K41" i="11" s="1"/>
  <c r="D19" i="9"/>
  <c r="G75" i="7"/>
  <c r="M8" i="11" l="1"/>
  <c r="M9" i="11" s="1"/>
  <c r="M10" i="11" s="1"/>
  <c r="O4" i="11"/>
  <c r="O6" i="11" s="1"/>
  <c r="N7" i="11"/>
  <c r="L35" i="11"/>
  <c r="L41" i="11" s="1"/>
  <c r="G11" i="11"/>
  <c r="G30" i="11" s="1"/>
  <c r="H194" i="11"/>
  <c r="I194" i="11"/>
  <c r="J194" i="11"/>
  <c r="K194" i="11"/>
  <c r="L194" i="11"/>
  <c r="M194" i="11"/>
  <c r="N194" i="11"/>
  <c r="O194" i="11"/>
  <c r="P194" i="11"/>
  <c r="Q194" i="11"/>
  <c r="R194" i="11"/>
  <c r="S194" i="11"/>
  <c r="T194" i="11"/>
  <c r="U194" i="11"/>
  <c r="V194" i="11"/>
  <c r="W194" i="11"/>
  <c r="X194" i="11"/>
  <c r="Y194" i="11"/>
  <c r="Z194" i="11"/>
  <c r="AA194" i="11"/>
  <c r="AB194" i="11"/>
  <c r="AC194" i="11"/>
  <c r="AD194" i="11"/>
  <c r="AE194" i="11"/>
  <c r="AF194" i="11"/>
  <c r="AG194" i="11"/>
  <c r="AH194" i="11"/>
  <c r="AI194" i="11"/>
  <c r="AJ194" i="11"/>
  <c r="G194" i="11"/>
  <c r="N8" i="11" l="1"/>
  <c r="N9" i="11" s="1"/>
  <c r="N10" i="11" s="1"/>
  <c r="P4" i="11"/>
  <c r="P6" i="11" s="1"/>
  <c r="O7" i="11"/>
  <c r="M35" i="11"/>
  <c r="M41" i="11" s="1"/>
  <c r="G27" i="11"/>
  <c r="R45" i="7"/>
  <c r="R43" i="7"/>
  <c r="D55" i="9"/>
  <c r="O8" i="11" l="1"/>
  <c r="O9" i="11" s="1"/>
  <c r="O10" i="11" s="1"/>
  <c r="Q4" i="11"/>
  <c r="Q6" i="11" s="1"/>
  <c r="P7" i="11"/>
  <c r="N35" i="11"/>
  <c r="N41" i="11" s="1"/>
  <c r="D27" i="9"/>
  <c r="D25" i="9"/>
  <c r="D52" i="9"/>
  <c r="D53" i="9" s="1"/>
  <c r="P8" i="11" l="1"/>
  <c r="P9" i="11" s="1"/>
  <c r="P10" i="11" s="1"/>
  <c r="R4" i="11"/>
  <c r="R6" i="11" s="1"/>
  <c r="Q7" i="11"/>
  <c r="O35" i="11"/>
  <c r="O41" i="11" s="1"/>
  <c r="N26" i="7"/>
  <c r="V51" i="11"/>
  <c r="W51" i="11"/>
  <c r="X51" i="11"/>
  <c r="Y51" i="11"/>
  <c r="Z51" i="11"/>
  <c r="AA51" i="11"/>
  <c r="AB51" i="11"/>
  <c r="AC51" i="11"/>
  <c r="AD51" i="11"/>
  <c r="AE51" i="11"/>
  <c r="AF51" i="11"/>
  <c r="AG51" i="11"/>
  <c r="AH51" i="11"/>
  <c r="AI51" i="11"/>
  <c r="AJ51" i="11"/>
  <c r="H214" i="11"/>
  <c r="I214" i="11"/>
  <c r="J214" i="11"/>
  <c r="K214" i="11"/>
  <c r="L214" i="11"/>
  <c r="M214" i="11"/>
  <c r="N214" i="11"/>
  <c r="O214" i="11"/>
  <c r="AA214" i="11"/>
  <c r="AB214" i="11"/>
  <c r="AC214" i="11"/>
  <c r="AD214" i="11"/>
  <c r="AE214" i="11"/>
  <c r="AF214" i="11"/>
  <c r="AG214" i="11"/>
  <c r="AH214" i="11"/>
  <c r="AI214" i="11"/>
  <c r="AJ214" i="11"/>
  <c r="G214" i="11"/>
  <c r="H213" i="11"/>
  <c r="I213" i="11"/>
  <c r="J213" i="11"/>
  <c r="V213" i="11"/>
  <c r="W213" i="11"/>
  <c r="X213" i="11"/>
  <c r="Y213" i="11"/>
  <c r="Z213" i="11"/>
  <c r="AA213" i="11"/>
  <c r="AB213" i="11"/>
  <c r="AC213" i="11"/>
  <c r="AD213" i="11"/>
  <c r="AE213" i="11"/>
  <c r="AF213" i="11"/>
  <c r="AG213" i="11"/>
  <c r="AH213" i="11"/>
  <c r="AI213" i="11"/>
  <c r="AJ213" i="11"/>
  <c r="G213" i="11"/>
  <c r="N211" i="11"/>
  <c r="O211" i="11"/>
  <c r="P211" i="11"/>
  <c r="Q211" i="11"/>
  <c r="R211" i="11"/>
  <c r="S211" i="11"/>
  <c r="T211" i="11"/>
  <c r="U211" i="11"/>
  <c r="V211" i="11"/>
  <c r="W211" i="11"/>
  <c r="X211" i="11"/>
  <c r="Y211" i="11"/>
  <c r="Z211" i="11"/>
  <c r="AA211" i="11"/>
  <c r="AB211" i="11"/>
  <c r="AC211" i="11"/>
  <c r="AD211" i="11"/>
  <c r="AE211" i="11"/>
  <c r="AF211" i="11"/>
  <c r="AG211" i="11"/>
  <c r="AH211" i="11"/>
  <c r="AI211" i="11"/>
  <c r="AJ211" i="11"/>
  <c r="U212" i="11"/>
  <c r="V212" i="11"/>
  <c r="W212" i="11"/>
  <c r="X212" i="11"/>
  <c r="Y212" i="11"/>
  <c r="Z212" i="11"/>
  <c r="AA212" i="11"/>
  <c r="AB212" i="11"/>
  <c r="AC212" i="11"/>
  <c r="AD212" i="11"/>
  <c r="AE212" i="11"/>
  <c r="AF212" i="11"/>
  <c r="AG212" i="11"/>
  <c r="AH212" i="11"/>
  <c r="AI212" i="11"/>
  <c r="AJ212" i="11"/>
  <c r="H148" i="11"/>
  <c r="I148" i="11"/>
  <c r="J148" i="11"/>
  <c r="K148" i="11"/>
  <c r="L148" i="11"/>
  <c r="M148" i="11"/>
  <c r="N148" i="11"/>
  <c r="O148" i="11"/>
  <c r="P148" i="11"/>
  <c r="Q148" i="11"/>
  <c r="R148" i="11"/>
  <c r="S148" i="11"/>
  <c r="T148" i="11"/>
  <c r="U148" i="11"/>
  <c r="V148" i="11"/>
  <c r="W148" i="11"/>
  <c r="X148" i="11"/>
  <c r="Y148" i="11"/>
  <c r="AA148" i="11"/>
  <c r="AB148" i="11"/>
  <c r="AC148" i="11"/>
  <c r="AD148" i="11"/>
  <c r="AE148" i="11"/>
  <c r="AF148" i="11"/>
  <c r="AG148" i="11"/>
  <c r="AH148" i="11"/>
  <c r="AI148" i="11"/>
  <c r="AJ148" i="11"/>
  <c r="H145" i="11"/>
  <c r="I145" i="11"/>
  <c r="J145" i="11"/>
  <c r="K145" i="11"/>
  <c r="L145" i="11"/>
  <c r="M145" i="11"/>
  <c r="N145" i="11"/>
  <c r="O145" i="11"/>
  <c r="P145" i="11"/>
  <c r="Q145" i="11"/>
  <c r="R145" i="11"/>
  <c r="S145" i="11"/>
  <c r="T145" i="11"/>
  <c r="V145" i="11"/>
  <c r="W145" i="11"/>
  <c r="X145" i="11"/>
  <c r="Y145" i="11"/>
  <c r="Z145" i="11"/>
  <c r="AA145" i="11"/>
  <c r="AB145" i="11"/>
  <c r="AC145" i="11"/>
  <c r="AD145" i="11"/>
  <c r="AE145" i="11"/>
  <c r="AF145" i="11"/>
  <c r="AG145" i="11"/>
  <c r="AH145" i="11"/>
  <c r="AI145" i="11"/>
  <c r="AJ145" i="11"/>
  <c r="G148" i="11"/>
  <c r="G149" i="11" s="1"/>
  <c r="G150" i="11" s="1"/>
  <c r="G145" i="11"/>
  <c r="G146" i="11" s="1"/>
  <c r="G147" i="11" s="1"/>
  <c r="E148" i="11"/>
  <c r="Z148" i="11" s="1"/>
  <c r="E145" i="11"/>
  <c r="U145" i="11" s="1"/>
  <c r="E142" i="11"/>
  <c r="J212" i="11" s="1"/>
  <c r="P62" i="7"/>
  <c r="P60" i="7"/>
  <c r="P58" i="7"/>
  <c r="P56" i="7"/>
  <c r="N61" i="7"/>
  <c r="N59" i="7"/>
  <c r="N57" i="7"/>
  <c r="Q8" i="11" l="1"/>
  <c r="Q9" i="11" s="1"/>
  <c r="Q10" i="11" s="1"/>
  <c r="S4" i="11"/>
  <c r="S6" i="11" s="1"/>
  <c r="R7" i="11"/>
  <c r="I212" i="11"/>
  <c r="G212" i="11"/>
  <c r="H212" i="11"/>
  <c r="P35" i="11"/>
  <c r="P41" i="11" s="1"/>
  <c r="S212" i="11"/>
  <c r="Q212" i="11"/>
  <c r="O212" i="11"/>
  <c r="M212" i="11"/>
  <c r="K212" i="11"/>
  <c r="T212" i="11"/>
  <c r="R212" i="11"/>
  <c r="P212" i="11"/>
  <c r="N212" i="11"/>
  <c r="L212" i="11"/>
  <c r="Z214" i="11"/>
  <c r="X214" i="11"/>
  <c r="V214" i="11"/>
  <c r="T214" i="11"/>
  <c r="R214" i="11"/>
  <c r="P214" i="11"/>
  <c r="Y214" i="11"/>
  <c r="W214" i="11"/>
  <c r="U214" i="11"/>
  <c r="S214" i="11"/>
  <c r="Q214" i="11"/>
  <c r="T213" i="11"/>
  <c r="R213" i="11"/>
  <c r="P213" i="11"/>
  <c r="N213" i="11"/>
  <c r="L213" i="11"/>
  <c r="U213" i="11"/>
  <c r="S213" i="11"/>
  <c r="Q213" i="11"/>
  <c r="O213" i="11"/>
  <c r="M213" i="11"/>
  <c r="K213" i="11"/>
  <c r="H146" i="11"/>
  <c r="H147" i="11" s="1"/>
  <c r="H149" i="11"/>
  <c r="H150" i="11" s="1"/>
  <c r="L193" i="11"/>
  <c r="M193" i="11"/>
  <c r="N193" i="11"/>
  <c r="O193" i="11"/>
  <c r="P193" i="11"/>
  <c r="Q193" i="11"/>
  <c r="R193" i="11"/>
  <c r="S193" i="11"/>
  <c r="T193" i="11"/>
  <c r="U193" i="11"/>
  <c r="V193" i="11"/>
  <c r="W193" i="11"/>
  <c r="X193" i="11"/>
  <c r="Y193" i="11"/>
  <c r="Z193" i="11"/>
  <c r="AA193" i="11"/>
  <c r="AB193" i="11"/>
  <c r="AC193" i="11"/>
  <c r="AD193" i="11"/>
  <c r="AE193" i="11"/>
  <c r="AF193" i="11"/>
  <c r="AG193" i="11"/>
  <c r="AH193" i="11"/>
  <c r="AI193" i="11"/>
  <c r="AJ193" i="11"/>
  <c r="R8" i="11" l="1"/>
  <c r="R9" i="11" s="1"/>
  <c r="R10" i="11" s="1"/>
  <c r="T4" i="11"/>
  <c r="T6" i="11" s="1"/>
  <c r="S7" i="11"/>
  <c r="I146" i="11"/>
  <c r="J146" i="11" s="1"/>
  <c r="Q35" i="11"/>
  <c r="Q41" i="11" s="1"/>
  <c r="I149" i="11"/>
  <c r="J149" i="11" s="1"/>
  <c r="AA43" i="11"/>
  <c r="AB43" i="11"/>
  <c r="AC43" i="11"/>
  <c r="AD43" i="11"/>
  <c r="AE43" i="11"/>
  <c r="AF43" i="11"/>
  <c r="AG43" i="11"/>
  <c r="AH43" i="11"/>
  <c r="AI43" i="11"/>
  <c r="AJ43" i="11"/>
  <c r="G43" i="11"/>
  <c r="R39" i="7"/>
  <c r="E139" i="11"/>
  <c r="Q27" i="11"/>
  <c r="R27" i="11"/>
  <c r="S27" i="11"/>
  <c r="T27" i="11"/>
  <c r="U27" i="11"/>
  <c r="V27" i="11"/>
  <c r="W27" i="11"/>
  <c r="X27" i="11"/>
  <c r="Y27" i="11"/>
  <c r="Z27" i="11"/>
  <c r="AA27" i="11"/>
  <c r="AB27" i="11"/>
  <c r="AC27" i="11"/>
  <c r="AD27" i="11"/>
  <c r="AE27" i="11"/>
  <c r="AF27" i="11"/>
  <c r="AG27" i="11"/>
  <c r="AH27" i="11"/>
  <c r="AI27" i="11"/>
  <c r="AJ27" i="11"/>
  <c r="S8" i="11" l="1"/>
  <c r="S9" i="11" s="1"/>
  <c r="S10" i="11" s="1"/>
  <c r="U4" i="11"/>
  <c r="U6" i="11" s="1"/>
  <c r="T7" i="11"/>
  <c r="I147" i="11"/>
  <c r="R35" i="11"/>
  <c r="R41" i="11" s="1"/>
  <c r="I150" i="11"/>
  <c r="I211" i="11"/>
  <c r="K211" i="11"/>
  <c r="M211" i="11"/>
  <c r="G211" i="11"/>
  <c r="H211" i="11"/>
  <c r="J211" i="11"/>
  <c r="L211" i="11"/>
  <c r="K149" i="11"/>
  <c r="J150" i="11"/>
  <c r="K146" i="11"/>
  <c r="J147" i="11"/>
  <c r="AF37" i="11"/>
  <c r="AG37" i="11"/>
  <c r="AH37" i="11"/>
  <c r="AI37" i="11"/>
  <c r="AJ37" i="11"/>
  <c r="G37" i="11"/>
  <c r="C18" i="9"/>
  <c r="T8" i="11" l="1"/>
  <c r="T9" i="11" s="1"/>
  <c r="T10" i="11" s="1"/>
  <c r="V4" i="11"/>
  <c r="V6" i="11" s="1"/>
  <c r="U7" i="11"/>
  <c r="S35" i="11"/>
  <c r="S41" i="11" s="1"/>
  <c r="L146" i="11"/>
  <c r="K147" i="11"/>
  <c r="L149" i="11"/>
  <c r="K150" i="11"/>
  <c r="D18" i="9"/>
  <c r="U8" i="11" l="1"/>
  <c r="U9" i="11" s="1"/>
  <c r="U10" i="11" s="1"/>
  <c r="W4" i="11"/>
  <c r="W6" i="11" s="1"/>
  <c r="V7" i="11"/>
  <c r="T35" i="11"/>
  <c r="T41" i="11" s="1"/>
  <c r="M149" i="11"/>
  <c r="L150" i="11"/>
  <c r="M146" i="11"/>
  <c r="L147" i="11"/>
  <c r="D19" i="7"/>
  <c r="V8" i="11" l="1"/>
  <c r="V9" i="11" s="1"/>
  <c r="V10" i="11" s="1"/>
  <c r="X4" i="11"/>
  <c r="X6" i="11" s="1"/>
  <c r="W7" i="11"/>
  <c r="U35" i="11"/>
  <c r="U41" i="11" s="1"/>
  <c r="N146" i="11"/>
  <c r="M147" i="11"/>
  <c r="N149" i="11"/>
  <c r="M150" i="11"/>
  <c r="T18" i="7"/>
  <c r="W8" i="11" l="1"/>
  <c r="W9" i="11" s="1"/>
  <c r="W10" i="11" s="1"/>
  <c r="Y4" i="11"/>
  <c r="Y6" i="11" s="1"/>
  <c r="X7" i="11"/>
  <c r="V35" i="11"/>
  <c r="V41" i="11" s="1"/>
  <c r="O149" i="11"/>
  <c r="N150" i="11"/>
  <c r="O146" i="11"/>
  <c r="N147" i="11"/>
  <c r="L86" i="7"/>
  <c r="L87" i="7"/>
  <c r="L88" i="7"/>
  <c r="L89" i="7"/>
  <c r="L84" i="7"/>
  <c r="O85" i="7"/>
  <c r="O86" i="7"/>
  <c r="O87" i="7"/>
  <c r="O88" i="7"/>
  <c r="O89" i="7"/>
  <c r="O84" i="7"/>
  <c r="N55" i="7"/>
  <c r="N48" i="7"/>
  <c r="N47" i="7"/>
  <c r="N41" i="7"/>
  <c r="N40" i="7"/>
  <c r="N39" i="7"/>
  <c r="N31" i="7"/>
  <c r="N32" i="7"/>
  <c r="N27" i="7"/>
  <c r="N20" i="7"/>
  <c r="N19" i="7"/>
  <c r="D82" i="7"/>
  <c r="D80" i="7"/>
  <c r="D68" i="7"/>
  <c r="D60" i="7"/>
  <c r="D59" i="7"/>
  <c r="D58" i="7"/>
  <c r="D57" i="7"/>
  <c r="X8" i="11" l="1"/>
  <c r="X9" i="11" s="1"/>
  <c r="X10" i="11" s="1"/>
  <c r="Z4" i="11"/>
  <c r="Z6" i="11" s="1"/>
  <c r="Y7" i="11"/>
  <c r="W35" i="11"/>
  <c r="W41" i="11" s="1"/>
  <c r="P146" i="11"/>
  <c r="O147" i="11"/>
  <c r="P149" i="11"/>
  <c r="O150" i="11"/>
  <c r="N13" i="7"/>
  <c r="D17" i="7"/>
  <c r="Y8" i="11" l="1"/>
  <c r="Y9" i="11" s="1"/>
  <c r="Y10" i="11" s="1"/>
  <c r="AA4" i="11"/>
  <c r="AA6" i="11" s="1"/>
  <c r="AB4" i="11" s="1"/>
  <c r="AB6" i="11" s="1"/>
  <c r="AC4" i="11" s="1"/>
  <c r="AC6" i="11" s="1"/>
  <c r="AD4" i="11" s="1"/>
  <c r="AD6" i="11" s="1"/>
  <c r="AE4" i="11" s="1"/>
  <c r="AE6" i="11" s="1"/>
  <c r="AF4" i="11" s="1"/>
  <c r="AF6" i="11" s="1"/>
  <c r="AG4" i="11" s="1"/>
  <c r="AG6" i="11" s="1"/>
  <c r="AH4" i="11" s="1"/>
  <c r="AH6" i="11" s="1"/>
  <c r="AI4" i="11" s="1"/>
  <c r="AI6" i="11" s="1"/>
  <c r="AJ4" i="11" s="1"/>
  <c r="AJ6" i="11" s="1"/>
  <c r="Z7" i="11"/>
  <c r="X35" i="11"/>
  <c r="X41" i="11" s="1"/>
  <c r="Q149" i="11"/>
  <c r="P150" i="11"/>
  <c r="Q146" i="11"/>
  <c r="P147" i="11"/>
  <c r="G67" i="7"/>
  <c r="Z8" i="11" l="1"/>
  <c r="Z9" i="11" s="1"/>
  <c r="Z10" i="11" s="1"/>
  <c r="Y35" i="11"/>
  <c r="Y41" i="11" s="1"/>
  <c r="R146" i="11"/>
  <c r="Q147" i="11"/>
  <c r="R149" i="11"/>
  <c r="Q150" i="11"/>
  <c r="T110" i="7"/>
  <c r="L90" i="7"/>
  <c r="L85" i="7"/>
  <c r="Z35" i="11" l="1"/>
  <c r="Z41" i="11" s="1"/>
  <c r="S149" i="11"/>
  <c r="R150" i="11"/>
  <c r="S146" i="11"/>
  <c r="R147" i="11"/>
  <c r="D49" i="9"/>
  <c r="D50" i="9" s="1"/>
  <c r="T20" i="7"/>
  <c r="T19" i="7"/>
  <c r="T21" i="7"/>
  <c r="F71" i="11"/>
  <c r="AA35" i="11" l="1"/>
  <c r="AB35" i="11" s="1"/>
  <c r="AC35" i="11" s="1"/>
  <c r="AD35" i="11" s="1"/>
  <c r="AE35" i="11" s="1"/>
  <c r="AF35" i="11" s="1"/>
  <c r="AG35" i="11" s="1"/>
  <c r="AH35" i="11" s="1"/>
  <c r="AI35" i="11" s="1"/>
  <c r="AJ35" i="11" s="1"/>
  <c r="T146" i="11"/>
  <c r="S147" i="11"/>
  <c r="T149" i="11"/>
  <c r="S150" i="11"/>
  <c r="Q226" i="11"/>
  <c r="Q227" i="11"/>
  <c r="Q228" i="11"/>
  <c r="Q229" i="11"/>
  <c r="Q230" i="11"/>
  <c r="Q231" i="11"/>
  <c r="Q232" i="11"/>
  <c r="Q233" i="11"/>
  <c r="Q234" i="11"/>
  <c r="Q225" i="11"/>
  <c r="P226" i="11"/>
  <c r="P227" i="11"/>
  <c r="P228" i="11"/>
  <c r="P229" i="11"/>
  <c r="P230" i="11"/>
  <c r="P231" i="11"/>
  <c r="P232" i="11"/>
  <c r="P233" i="11"/>
  <c r="P234" i="11"/>
  <c r="P225" i="11"/>
  <c r="M225" i="11"/>
  <c r="M226" i="11"/>
  <c r="M227" i="11"/>
  <c r="M228" i="11"/>
  <c r="M229" i="11"/>
  <c r="M230" i="11"/>
  <c r="M231" i="11"/>
  <c r="M232" i="11"/>
  <c r="M233" i="11"/>
  <c r="M234" i="11"/>
  <c r="L225" i="11"/>
  <c r="L226" i="11"/>
  <c r="L227" i="11"/>
  <c r="L228" i="11"/>
  <c r="L229" i="11"/>
  <c r="L230" i="11"/>
  <c r="L231" i="11"/>
  <c r="L232" i="11"/>
  <c r="L233" i="11"/>
  <c r="L234" i="11"/>
  <c r="I225" i="11"/>
  <c r="I226" i="11"/>
  <c r="I227" i="11"/>
  <c r="I228" i="11"/>
  <c r="I229" i="11"/>
  <c r="I230" i="11"/>
  <c r="I231" i="11"/>
  <c r="I232" i="11"/>
  <c r="I233" i="11"/>
  <c r="I234" i="11"/>
  <c r="H225" i="11"/>
  <c r="H226" i="11"/>
  <c r="H227" i="11"/>
  <c r="H228" i="11"/>
  <c r="H229" i="11"/>
  <c r="H230" i="11"/>
  <c r="H231" i="11"/>
  <c r="H232" i="11"/>
  <c r="H233" i="11"/>
  <c r="H234" i="11"/>
  <c r="F20" i="11"/>
  <c r="F19" i="11" s="1"/>
  <c r="C129" i="12"/>
  <c r="G23" i="11"/>
  <c r="H23" i="11" s="1"/>
  <c r="I23" i="11" s="1"/>
  <c r="J23" i="11" s="1"/>
  <c r="K23" i="11" s="1"/>
  <c r="L23" i="11" s="1"/>
  <c r="M23" i="11" s="1"/>
  <c r="N23" i="11" s="1"/>
  <c r="O23" i="11" s="1"/>
  <c r="P23" i="11" s="1"/>
  <c r="Q23" i="11" s="1"/>
  <c r="R23" i="11" s="1"/>
  <c r="S23" i="11" s="1"/>
  <c r="T23" i="11" s="1"/>
  <c r="U23" i="11" s="1"/>
  <c r="V23" i="11" s="1"/>
  <c r="W23" i="11" s="1"/>
  <c r="X23" i="11" s="1"/>
  <c r="Y23" i="11" s="1"/>
  <c r="Z23" i="11" s="1"/>
  <c r="AA23" i="11" s="1"/>
  <c r="AB23" i="11" s="1"/>
  <c r="AC23" i="11" s="1"/>
  <c r="AD23" i="11" s="1"/>
  <c r="AE23" i="11" s="1"/>
  <c r="AF23" i="11" s="1"/>
  <c r="AG23" i="11" s="1"/>
  <c r="AH23" i="11" s="1"/>
  <c r="AI23" i="11" s="1"/>
  <c r="AJ23" i="11" s="1"/>
  <c r="G42" i="11"/>
  <c r="H42" i="11" s="1"/>
  <c r="I42" i="11" s="1"/>
  <c r="J42" i="11" s="1"/>
  <c r="K42" i="11" s="1"/>
  <c r="L42" i="11" s="1"/>
  <c r="M42" i="11" s="1"/>
  <c r="N42" i="11" s="1"/>
  <c r="O42" i="11" s="1"/>
  <c r="P42" i="11" s="1"/>
  <c r="Q42" i="11" s="1"/>
  <c r="R42" i="11" s="1"/>
  <c r="S42" i="11" s="1"/>
  <c r="T42" i="11" s="1"/>
  <c r="U42" i="11" s="1"/>
  <c r="V42" i="11" s="1"/>
  <c r="W42" i="11" s="1"/>
  <c r="X42" i="11" s="1"/>
  <c r="Y42" i="11" s="1"/>
  <c r="Z42" i="11" s="1"/>
  <c r="AA42" i="11" s="1"/>
  <c r="AB42" i="11" s="1"/>
  <c r="AC42" i="11" s="1"/>
  <c r="AD42" i="11" s="1"/>
  <c r="AE42" i="11" s="1"/>
  <c r="AF42" i="11" s="1"/>
  <c r="AG42" i="11" s="1"/>
  <c r="AH42" i="11" s="1"/>
  <c r="AI42" i="11" s="1"/>
  <c r="AJ42" i="11" s="1"/>
  <c r="U149" i="11" l="1"/>
  <c r="T150" i="11"/>
  <c r="U146" i="11"/>
  <c r="T147" i="11"/>
  <c r="J224" i="11"/>
  <c r="J225" i="11" s="1"/>
  <c r="J226" i="11" s="1"/>
  <c r="J227" i="11" s="1"/>
  <c r="J228" i="11" s="1"/>
  <c r="J229" i="11" s="1"/>
  <c r="J230" i="11" s="1"/>
  <c r="J231" i="11" s="1"/>
  <c r="J232" i="11" s="1"/>
  <c r="J233" i="11" s="1"/>
  <c r="B199" i="11"/>
  <c r="B185" i="11"/>
  <c r="F70" i="11"/>
  <c r="D8" i="9"/>
  <c r="V146" i="11" l="1"/>
  <c r="U147" i="11"/>
  <c r="V149" i="11"/>
  <c r="U150" i="11"/>
  <c r="AI182" i="11"/>
  <c r="AI75" i="11" s="1"/>
  <c r="AG182" i="11"/>
  <c r="AG75" i="11" s="1"/>
  <c r="AE182" i="11"/>
  <c r="AE75" i="11" s="1"/>
  <c r="AC182" i="11"/>
  <c r="AC75" i="11" s="1"/>
  <c r="AA182" i="11"/>
  <c r="AA75" i="11" s="1"/>
  <c r="Y182" i="11"/>
  <c r="Y75" i="11" s="1"/>
  <c r="W182" i="11"/>
  <c r="W75" i="11" s="1"/>
  <c r="U182" i="11"/>
  <c r="U75" i="11" s="1"/>
  <c r="S182" i="11"/>
  <c r="S75" i="11" s="1"/>
  <c r="AJ196" i="11"/>
  <c r="AH196" i="11"/>
  <c r="AF196" i="11"/>
  <c r="AD196" i="11"/>
  <c r="AB196" i="11"/>
  <c r="Z196" i="11"/>
  <c r="X196" i="11"/>
  <c r="V196" i="11"/>
  <c r="T196" i="11"/>
  <c r="R196" i="11"/>
  <c r="AI196" i="11"/>
  <c r="AG196" i="11"/>
  <c r="AE196" i="11"/>
  <c r="AC196" i="11"/>
  <c r="AA196" i="11"/>
  <c r="Y196" i="11"/>
  <c r="W196" i="11"/>
  <c r="U196" i="11"/>
  <c r="S196" i="11"/>
  <c r="Q196" i="11"/>
  <c r="Q182" i="11"/>
  <c r="Q75" i="11" s="1"/>
  <c r="AJ182" i="11"/>
  <c r="AJ75" i="11" s="1"/>
  <c r="AH182" i="11"/>
  <c r="AH75" i="11" s="1"/>
  <c r="AF182" i="11"/>
  <c r="AF75" i="11" s="1"/>
  <c r="AD182" i="11"/>
  <c r="AD75" i="11" s="1"/>
  <c r="AB182" i="11"/>
  <c r="AB75" i="11" s="1"/>
  <c r="Z182" i="11"/>
  <c r="Z75" i="11" s="1"/>
  <c r="X182" i="11"/>
  <c r="X75" i="11" s="1"/>
  <c r="V182" i="11"/>
  <c r="V75" i="11" s="1"/>
  <c r="T182" i="11"/>
  <c r="T75" i="11" s="1"/>
  <c r="R182" i="11"/>
  <c r="R75" i="11" s="1"/>
  <c r="H215" i="11"/>
  <c r="H58" i="11" s="1"/>
  <c r="I215" i="11"/>
  <c r="I58" i="11" s="1"/>
  <c r="J215" i="11"/>
  <c r="J58" i="11" s="1"/>
  <c r="K215" i="11"/>
  <c r="K58" i="11" s="1"/>
  <c r="L215" i="11"/>
  <c r="L58" i="11" s="1"/>
  <c r="M215" i="11"/>
  <c r="M58" i="11" s="1"/>
  <c r="N215" i="11"/>
  <c r="N58" i="11" s="1"/>
  <c r="O215" i="11"/>
  <c r="O58" i="11" s="1"/>
  <c r="P215" i="11"/>
  <c r="P58" i="11" s="1"/>
  <c r="Q215" i="11"/>
  <c r="Q58" i="11" s="1"/>
  <c r="R215" i="11"/>
  <c r="R58" i="11" s="1"/>
  <c r="S215" i="11"/>
  <c r="S58" i="11" s="1"/>
  <c r="T215" i="11"/>
  <c r="T58" i="11" s="1"/>
  <c r="U215" i="11"/>
  <c r="U58" i="11" s="1"/>
  <c r="V215" i="11"/>
  <c r="V58" i="11" s="1"/>
  <c r="W215" i="11"/>
  <c r="W58" i="11" s="1"/>
  <c r="X215" i="11"/>
  <c r="X58" i="11" s="1"/>
  <c r="Y215" i="11"/>
  <c r="Y58" i="11" s="1"/>
  <c r="Z215" i="11"/>
  <c r="Z58" i="11" s="1"/>
  <c r="AA215" i="11"/>
  <c r="AA58" i="11" s="1"/>
  <c r="AB215" i="11"/>
  <c r="AB58" i="11" s="1"/>
  <c r="AC215" i="11"/>
  <c r="AC58" i="11" s="1"/>
  <c r="AD215" i="11"/>
  <c r="AD58" i="11" s="1"/>
  <c r="AE215" i="11"/>
  <c r="AE58" i="11" s="1"/>
  <c r="AF215" i="11"/>
  <c r="AF58" i="11" s="1"/>
  <c r="AG215" i="11"/>
  <c r="AG58" i="11" s="1"/>
  <c r="AH215" i="11"/>
  <c r="AH58" i="11" s="1"/>
  <c r="AI215" i="11"/>
  <c r="AI58" i="11" s="1"/>
  <c r="AJ215" i="11"/>
  <c r="AJ58" i="11" s="1"/>
  <c r="G215" i="11"/>
  <c r="G58" i="11" s="1"/>
  <c r="H210" i="11"/>
  <c r="I210" i="11"/>
  <c r="J210" i="11"/>
  <c r="K210" i="11"/>
  <c r="L210" i="11"/>
  <c r="M210" i="11"/>
  <c r="N210" i="11"/>
  <c r="O210" i="11"/>
  <c r="P210" i="11"/>
  <c r="Q210" i="11"/>
  <c r="R210" i="11"/>
  <c r="S210" i="11"/>
  <c r="T210" i="11"/>
  <c r="U210" i="11"/>
  <c r="V210" i="11"/>
  <c r="W210" i="11"/>
  <c r="X210" i="11"/>
  <c r="Y210" i="11"/>
  <c r="AA210" i="11"/>
  <c r="AB210" i="11"/>
  <c r="AC210" i="11"/>
  <c r="AF210" i="11"/>
  <c r="AG210" i="11"/>
  <c r="AH210" i="11"/>
  <c r="AI210" i="11"/>
  <c r="I209" i="11"/>
  <c r="J209" i="11"/>
  <c r="K209" i="11"/>
  <c r="L209" i="11"/>
  <c r="M209" i="11"/>
  <c r="N209" i="11"/>
  <c r="O209" i="11"/>
  <c r="P209" i="11"/>
  <c r="Q209" i="11"/>
  <c r="R209" i="11"/>
  <c r="S209" i="11"/>
  <c r="U209" i="11"/>
  <c r="W209" i="11"/>
  <c r="X209" i="11"/>
  <c r="Z209" i="11"/>
  <c r="AB209" i="11"/>
  <c r="AC209" i="11"/>
  <c r="AD209" i="11"/>
  <c r="AE209" i="11"/>
  <c r="AH209" i="11"/>
  <c r="AI209" i="11"/>
  <c r="AJ209" i="11"/>
  <c r="G40" i="11"/>
  <c r="H24" i="11"/>
  <c r="I24" i="11"/>
  <c r="J24" i="11"/>
  <c r="K24" i="11"/>
  <c r="L24" i="11"/>
  <c r="M24" i="11"/>
  <c r="N24" i="11"/>
  <c r="O24" i="11"/>
  <c r="P24" i="11"/>
  <c r="Q24" i="11"/>
  <c r="R24" i="11"/>
  <c r="S24" i="11"/>
  <c r="T24" i="11"/>
  <c r="U24" i="11"/>
  <c r="G24" i="11"/>
  <c r="O21" i="7"/>
  <c r="G120" i="12"/>
  <c r="H120" i="12"/>
  <c r="I120" i="12"/>
  <c r="J120" i="12"/>
  <c r="K120" i="12"/>
  <c r="M120" i="12"/>
  <c r="G119" i="12"/>
  <c r="H119" i="12"/>
  <c r="I119" i="12"/>
  <c r="J119" i="12"/>
  <c r="K119" i="12"/>
  <c r="L119" i="12"/>
  <c r="M119" i="12"/>
  <c r="N119" i="12"/>
  <c r="G118" i="12"/>
  <c r="H118" i="12"/>
  <c r="I118" i="12"/>
  <c r="J118" i="12"/>
  <c r="K118" i="12"/>
  <c r="L118" i="12"/>
  <c r="M118" i="12"/>
  <c r="N118" i="12"/>
  <c r="G117" i="12"/>
  <c r="H117" i="12"/>
  <c r="I117" i="12"/>
  <c r="J117" i="12"/>
  <c r="K117" i="12"/>
  <c r="L117" i="12"/>
  <c r="M117" i="12"/>
  <c r="N117" i="12"/>
  <c r="G116" i="12"/>
  <c r="H116" i="12"/>
  <c r="I116" i="12"/>
  <c r="J116" i="12"/>
  <c r="K116" i="12"/>
  <c r="L116" i="12"/>
  <c r="M116" i="12"/>
  <c r="N116" i="12"/>
  <c r="W149" i="11" l="1"/>
  <c r="V150" i="11"/>
  <c r="W146" i="11"/>
  <c r="V147" i="11"/>
  <c r="K121" i="12"/>
  <c r="I121" i="12"/>
  <c r="G121" i="12"/>
  <c r="M121" i="12"/>
  <c r="J121" i="12"/>
  <c r="H121" i="12"/>
  <c r="D9" i="9"/>
  <c r="X146" i="11" l="1"/>
  <c r="W147" i="11"/>
  <c r="X149" i="11"/>
  <c r="W150" i="11"/>
  <c r="C123" i="12"/>
  <c r="Y149" i="11" l="1"/>
  <c r="X150" i="11"/>
  <c r="Y146" i="11"/>
  <c r="X147" i="11"/>
  <c r="P35" i="10"/>
  <c r="P33" i="10"/>
  <c r="P36" i="10"/>
  <c r="P34" i="10"/>
  <c r="AI219" i="11"/>
  <c r="AI57" i="11" s="1"/>
  <c r="G35" i="10" s="1"/>
  <c r="AB219" i="11"/>
  <c r="AB57" i="11" s="1"/>
  <c r="G28" i="10" s="1"/>
  <c r="X219" i="11"/>
  <c r="X57" i="11" s="1"/>
  <c r="G24" i="10" s="1"/>
  <c r="R219" i="11"/>
  <c r="R57" i="11" s="1"/>
  <c r="G18" i="10" s="1"/>
  <c r="P219" i="11"/>
  <c r="P57" i="11" s="1"/>
  <c r="G16" i="10" s="1"/>
  <c r="N219" i="11"/>
  <c r="N57" i="11" s="1"/>
  <c r="G14" i="10" s="1"/>
  <c r="L219" i="11"/>
  <c r="L57" i="11" s="1"/>
  <c r="G12" i="10" s="1"/>
  <c r="J219" i="11"/>
  <c r="J57" i="11" s="1"/>
  <c r="G10" i="10" s="1"/>
  <c r="AH219" i="11"/>
  <c r="AH57" i="11" s="1"/>
  <c r="G34" i="10" s="1"/>
  <c r="AC219" i="11"/>
  <c r="AC57" i="11" s="1"/>
  <c r="G29" i="10" s="1"/>
  <c r="W219" i="11"/>
  <c r="W57" i="11" s="1"/>
  <c r="G23" i="10" s="1"/>
  <c r="S219" i="11"/>
  <c r="S57" i="11" s="1"/>
  <c r="G19" i="10" s="1"/>
  <c r="Q219" i="11"/>
  <c r="Q57" i="11" s="1"/>
  <c r="G17" i="10" s="1"/>
  <c r="O219" i="11"/>
  <c r="O57" i="11" s="1"/>
  <c r="G15" i="10" s="1"/>
  <c r="M219" i="11"/>
  <c r="M57" i="11" s="1"/>
  <c r="G13" i="10" s="1"/>
  <c r="K219" i="11"/>
  <c r="K57" i="11" s="1"/>
  <c r="G11" i="10" s="1"/>
  <c r="I219" i="11"/>
  <c r="I57" i="11" s="1"/>
  <c r="G9" i="10" s="1"/>
  <c r="Z146" i="11" l="1"/>
  <c r="Y147" i="11"/>
  <c r="Z149" i="11"/>
  <c r="Y150" i="11"/>
  <c r="B82" i="11"/>
  <c r="F120" i="12"/>
  <c r="F119" i="12"/>
  <c r="F118" i="12"/>
  <c r="F117" i="12"/>
  <c r="F116" i="12"/>
  <c r="C108" i="12"/>
  <c r="C101" i="12"/>
  <c r="D101" i="12" s="1"/>
  <c r="C76" i="12"/>
  <c r="C118" i="12" s="1"/>
  <c r="C51" i="12"/>
  <c r="D51" i="12" s="1"/>
  <c r="C26" i="12"/>
  <c r="H139" i="11"/>
  <c r="I139" i="11"/>
  <c r="J139" i="11"/>
  <c r="K139" i="11"/>
  <c r="L139" i="11"/>
  <c r="M139" i="11"/>
  <c r="N139" i="11"/>
  <c r="O139" i="11"/>
  <c r="Q139" i="11"/>
  <c r="S139" i="11"/>
  <c r="T139" i="11"/>
  <c r="U139" i="11"/>
  <c r="V139" i="11"/>
  <c r="W139" i="11"/>
  <c r="X139" i="11"/>
  <c r="Y139" i="11"/>
  <c r="Z139" i="11"/>
  <c r="AA139" i="11"/>
  <c r="AB139" i="11"/>
  <c r="AC139" i="11"/>
  <c r="AD139" i="11"/>
  <c r="AE139" i="11"/>
  <c r="AF139" i="11"/>
  <c r="AG139" i="11"/>
  <c r="AH139" i="11"/>
  <c r="AI139" i="11"/>
  <c r="AJ139" i="11"/>
  <c r="H142" i="11"/>
  <c r="I142" i="11"/>
  <c r="J142" i="11"/>
  <c r="K142" i="11"/>
  <c r="L142" i="11"/>
  <c r="M142" i="11"/>
  <c r="N142" i="11"/>
  <c r="O142" i="11"/>
  <c r="P142" i="11"/>
  <c r="Q142" i="11"/>
  <c r="R142" i="11"/>
  <c r="S142" i="11"/>
  <c r="T142" i="11"/>
  <c r="U142" i="11"/>
  <c r="V142" i="11"/>
  <c r="W142" i="11"/>
  <c r="X142" i="11"/>
  <c r="Y142" i="11"/>
  <c r="AA142" i="11"/>
  <c r="AB142" i="11"/>
  <c r="AC142" i="11"/>
  <c r="AD142" i="11"/>
  <c r="AE142" i="11"/>
  <c r="AF142" i="11"/>
  <c r="AG142" i="11"/>
  <c r="AH142" i="11"/>
  <c r="AI142" i="11"/>
  <c r="AJ142" i="11"/>
  <c r="G142" i="11"/>
  <c r="G143" i="11" s="1"/>
  <c r="G144" i="11" s="1"/>
  <c r="G139" i="11"/>
  <c r="G140" i="11" s="1"/>
  <c r="Z142" i="11"/>
  <c r="P139" i="11"/>
  <c r="H17" i="11"/>
  <c r="H27" i="11" s="1"/>
  <c r="H16" i="11"/>
  <c r="W114" i="11"/>
  <c r="X114" i="11"/>
  <c r="Y114" i="11"/>
  <c r="Z114" i="11"/>
  <c r="AA114" i="11"/>
  <c r="AB114" i="11"/>
  <c r="AC114" i="11"/>
  <c r="AD114" i="11"/>
  <c r="AE114" i="11"/>
  <c r="AF114" i="11"/>
  <c r="AG114" i="11"/>
  <c r="AH114" i="11"/>
  <c r="AI114" i="11"/>
  <c r="AJ114" i="11"/>
  <c r="M113" i="11"/>
  <c r="N113" i="11"/>
  <c r="O113" i="11"/>
  <c r="P113" i="11"/>
  <c r="Q113" i="11"/>
  <c r="R113" i="11"/>
  <c r="S113" i="11"/>
  <c r="T113" i="11"/>
  <c r="U113" i="11"/>
  <c r="V113" i="11"/>
  <c r="W113" i="11"/>
  <c r="X113" i="11"/>
  <c r="Y113" i="11"/>
  <c r="Z113" i="11"/>
  <c r="AA113" i="11"/>
  <c r="AB113" i="11"/>
  <c r="AC113" i="11"/>
  <c r="AD113" i="11"/>
  <c r="AE113" i="11"/>
  <c r="AF113" i="11"/>
  <c r="AG113" i="11"/>
  <c r="AH113" i="11"/>
  <c r="AI113" i="11"/>
  <c r="AJ113" i="11"/>
  <c r="F91" i="11"/>
  <c r="H34" i="11"/>
  <c r="H38" i="11" s="1"/>
  <c r="H15" i="11"/>
  <c r="H11" i="11"/>
  <c r="H30" i="11" s="1"/>
  <c r="F97" i="11"/>
  <c r="AJ115" i="11"/>
  <c r="AI115" i="11"/>
  <c r="AH115" i="11"/>
  <c r="AG115" i="11"/>
  <c r="AF115" i="11"/>
  <c r="AE115" i="11"/>
  <c r="AD115" i="11"/>
  <c r="AC115" i="11"/>
  <c r="AB115" i="11"/>
  <c r="AA149" i="11" l="1"/>
  <c r="Z150" i="11"/>
  <c r="AA146" i="11"/>
  <c r="Z147" i="11"/>
  <c r="H37" i="11"/>
  <c r="H43" i="11"/>
  <c r="I34" i="11"/>
  <c r="I38" i="11" s="1"/>
  <c r="H40" i="11"/>
  <c r="I16" i="11"/>
  <c r="D26" i="12"/>
  <c r="D116" i="12" s="1"/>
  <c r="C107" i="12"/>
  <c r="L120" i="12" s="1"/>
  <c r="L121" i="12" s="1"/>
  <c r="R139" i="11"/>
  <c r="F121" i="12"/>
  <c r="C106" i="12"/>
  <c r="D117" i="12"/>
  <c r="D119" i="12"/>
  <c r="C117" i="12"/>
  <c r="C119" i="12"/>
  <c r="D76" i="12"/>
  <c r="D118" i="12" s="1"/>
  <c r="C116" i="12"/>
  <c r="G141" i="11"/>
  <c r="H140" i="11"/>
  <c r="H141" i="11" s="1"/>
  <c r="H143" i="11"/>
  <c r="H144" i="11" s="1"/>
  <c r="I17" i="11"/>
  <c r="I27" i="11" s="1"/>
  <c r="F31" i="7"/>
  <c r="I15" i="11"/>
  <c r="I11" i="11"/>
  <c r="I30" i="11" s="1"/>
  <c r="AB146" i="11" l="1"/>
  <c r="AA147" i="11"/>
  <c r="AB149" i="11"/>
  <c r="AA150" i="11"/>
  <c r="I37" i="11"/>
  <c r="I43" i="11"/>
  <c r="J34" i="11"/>
  <c r="J38" i="11" s="1"/>
  <c r="I40" i="11"/>
  <c r="C130" i="12"/>
  <c r="C131" i="12" s="1"/>
  <c r="C132" i="12" s="1"/>
  <c r="C133" i="12" s="1"/>
  <c r="C134" i="12" s="1"/>
  <c r="C135" i="12" s="1"/>
  <c r="C136" i="12" s="1"/>
  <c r="C137" i="12" s="1"/>
  <c r="C138" i="12" s="1"/>
  <c r="C139" i="12" s="1"/>
  <c r="C140" i="12" s="1"/>
  <c r="C141" i="12" s="1"/>
  <c r="C142" i="12" s="1"/>
  <c r="C143" i="12" s="1"/>
  <c r="C144" i="12" s="1"/>
  <c r="C145" i="12" s="1"/>
  <c r="C146" i="12" s="1"/>
  <c r="C147" i="12" s="1"/>
  <c r="C148" i="12" s="1"/>
  <c r="C149" i="12" s="1"/>
  <c r="C150" i="12" s="1"/>
  <c r="C151" i="12" s="1"/>
  <c r="C152" i="12" s="1"/>
  <c r="C153" i="12" s="1"/>
  <c r="C154" i="12" s="1"/>
  <c r="C155" i="12" s="1"/>
  <c r="C156" i="12" s="1"/>
  <c r="C157" i="12" s="1"/>
  <c r="C158" i="12" s="1"/>
  <c r="G54" i="7"/>
  <c r="J16" i="11"/>
  <c r="J15" i="11"/>
  <c r="I140" i="11"/>
  <c r="I143" i="11"/>
  <c r="I144" i="11" s="1"/>
  <c r="J17" i="11"/>
  <c r="J27" i="11" s="1"/>
  <c r="J11" i="11"/>
  <c r="J30" i="11" s="1"/>
  <c r="AC149" i="11" l="1"/>
  <c r="AB150" i="11"/>
  <c r="AC146" i="11"/>
  <c r="AB147" i="11"/>
  <c r="J37" i="11"/>
  <c r="J43" i="11"/>
  <c r="K34" i="11"/>
  <c r="K38" i="11" s="1"/>
  <c r="J40" i="11"/>
  <c r="K16" i="11"/>
  <c r="K15" i="11"/>
  <c r="J140" i="11"/>
  <c r="I141" i="11"/>
  <c r="J143" i="11"/>
  <c r="J144" i="11" s="1"/>
  <c r="K17" i="11"/>
  <c r="K27" i="11" s="1"/>
  <c r="K11" i="11"/>
  <c r="K30" i="11" s="1"/>
  <c r="AD146" i="11" l="1"/>
  <c r="AC147" i="11"/>
  <c r="AD149" i="11"/>
  <c r="AC150" i="11"/>
  <c r="K37" i="11"/>
  <c r="K43" i="11"/>
  <c r="L34" i="11"/>
  <c r="L38" i="11" s="1"/>
  <c r="K40" i="11"/>
  <c r="L16" i="11"/>
  <c r="L15" i="11"/>
  <c r="K140" i="11"/>
  <c r="J141" i="11"/>
  <c r="K143" i="11"/>
  <c r="K144" i="11" s="1"/>
  <c r="L17" i="11"/>
  <c r="L27" i="11" s="1"/>
  <c r="L11" i="11"/>
  <c r="L30" i="11" s="1"/>
  <c r="AE149" i="11" l="1"/>
  <c r="AD150" i="11"/>
  <c r="AE146" i="11"/>
  <c r="AD147" i="11"/>
  <c r="L37" i="11"/>
  <c r="L43" i="11"/>
  <c r="M34" i="11"/>
  <c r="M38" i="11" s="1"/>
  <c r="L40" i="11"/>
  <c r="M16" i="11"/>
  <c r="M15" i="11"/>
  <c r="L140" i="11"/>
  <c r="K141" i="11"/>
  <c r="L143" i="11"/>
  <c r="L144" i="11" s="1"/>
  <c r="M17" i="11"/>
  <c r="M27" i="11" s="1"/>
  <c r="M11" i="11"/>
  <c r="M30" i="11" s="1"/>
  <c r="AF146" i="11" l="1"/>
  <c r="AE147" i="11"/>
  <c r="AF149" i="11"/>
  <c r="AE150" i="11"/>
  <c r="M37" i="11"/>
  <c r="M43" i="11"/>
  <c r="N34" i="11"/>
  <c r="N38" i="11" s="1"/>
  <c r="M40" i="11"/>
  <c r="N16" i="11"/>
  <c r="N15" i="11"/>
  <c r="M140" i="11"/>
  <c r="L141" i="11"/>
  <c r="M143" i="11"/>
  <c r="M144" i="11" s="1"/>
  <c r="N17" i="11"/>
  <c r="N27" i="11" s="1"/>
  <c r="N11" i="11"/>
  <c r="N30" i="11" s="1"/>
  <c r="AG149" i="11" l="1"/>
  <c r="AF150" i="11"/>
  <c r="AG146" i="11"/>
  <c r="AF147" i="11"/>
  <c r="N37" i="11"/>
  <c r="N43" i="11"/>
  <c r="O34" i="11"/>
  <c r="O38" i="11" s="1"/>
  <c r="N40" i="11"/>
  <c r="O16" i="11"/>
  <c r="O15" i="11"/>
  <c r="N140" i="11"/>
  <c r="M141" i="11"/>
  <c r="N143" i="11"/>
  <c r="N144" i="11" s="1"/>
  <c r="O17" i="11"/>
  <c r="O27" i="11" s="1"/>
  <c r="O11" i="11"/>
  <c r="O30" i="11" s="1"/>
  <c r="AH146" i="11" l="1"/>
  <c r="AG147" i="11"/>
  <c r="AH149" i="11"/>
  <c r="AG150" i="11"/>
  <c r="O37" i="11"/>
  <c r="O43" i="11"/>
  <c r="P34" i="11"/>
  <c r="P38" i="11" s="1"/>
  <c r="O40" i="11"/>
  <c r="P16" i="11"/>
  <c r="P15" i="11"/>
  <c r="O140" i="11"/>
  <c r="N141" i="11"/>
  <c r="O143" i="11"/>
  <c r="O144" i="11" s="1"/>
  <c r="P17" i="11"/>
  <c r="P27" i="11" s="1"/>
  <c r="P11" i="11"/>
  <c r="P30" i="11" s="1"/>
  <c r="AI149" i="11" l="1"/>
  <c r="AH150" i="11"/>
  <c r="AI146" i="11"/>
  <c r="AH147" i="11"/>
  <c r="P37" i="11"/>
  <c r="P43" i="11"/>
  <c r="Q34" i="11"/>
  <c r="Q38" i="11" s="1"/>
  <c r="P40" i="11"/>
  <c r="Q16" i="11"/>
  <c r="R16" i="11" s="1"/>
  <c r="S16" i="11" s="1"/>
  <c r="T16" i="11" s="1"/>
  <c r="U16" i="11" s="1"/>
  <c r="V16" i="11" s="1"/>
  <c r="W16" i="11" s="1"/>
  <c r="X16" i="11" s="1"/>
  <c r="Y16" i="11" s="1"/>
  <c r="Z16" i="11" s="1"/>
  <c r="AA16" i="11" s="1"/>
  <c r="AB16" i="11" s="1"/>
  <c r="AC16" i="11" s="1"/>
  <c r="AD16" i="11" s="1"/>
  <c r="AE16" i="11" s="1"/>
  <c r="AF16" i="11" s="1"/>
  <c r="AG16" i="11" s="1"/>
  <c r="AH16" i="11" s="1"/>
  <c r="AI16" i="11" s="1"/>
  <c r="AJ16" i="11" s="1"/>
  <c r="O141" i="11"/>
  <c r="P140" i="11"/>
  <c r="Q15" i="11"/>
  <c r="P143" i="11"/>
  <c r="P144" i="11" s="1"/>
  <c r="Q17" i="11"/>
  <c r="R17" i="11" s="1"/>
  <c r="S17" i="11" s="1"/>
  <c r="T17" i="11" s="1"/>
  <c r="U17" i="11" s="1"/>
  <c r="V17" i="11" s="1"/>
  <c r="W17" i="11" s="1"/>
  <c r="X17" i="11" s="1"/>
  <c r="Y17" i="11" s="1"/>
  <c r="Z17" i="11" s="1"/>
  <c r="AA17" i="11" s="1"/>
  <c r="AB17" i="11" s="1"/>
  <c r="AC17" i="11" s="1"/>
  <c r="AD17" i="11" s="1"/>
  <c r="AE17" i="11" s="1"/>
  <c r="AF17" i="11" s="1"/>
  <c r="AG17" i="11" s="1"/>
  <c r="AH17" i="11" s="1"/>
  <c r="AI17" i="11" s="1"/>
  <c r="AJ17" i="11" s="1"/>
  <c r="Q11" i="11"/>
  <c r="Q30" i="11" s="1"/>
  <c r="AJ146" i="11" l="1"/>
  <c r="AJ147" i="11" s="1"/>
  <c r="AI147" i="11"/>
  <c r="AJ149" i="11"/>
  <c r="AJ150" i="11" s="1"/>
  <c r="AI150" i="11"/>
  <c r="Q37" i="11"/>
  <c r="Q43" i="11"/>
  <c r="R34" i="11"/>
  <c r="R38" i="11" s="1"/>
  <c r="Q40" i="11"/>
  <c r="P141" i="11"/>
  <c r="Q140" i="11"/>
  <c r="R15" i="11"/>
  <c r="Q143" i="11"/>
  <c r="Q144" i="11" s="1"/>
  <c r="R11" i="11"/>
  <c r="R30" i="11" s="1"/>
  <c r="R37" i="11" l="1"/>
  <c r="R43" i="11"/>
  <c r="S34" i="11"/>
  <c r="S38" i="11" s="1"/>
  <c r="R40" i="11"/>
  <c r="Q141" i="11"/>
  <c r="R140" i="11"/>
  <c r="S15" i="11"/>
  <c r="R143" i="11"/>
  <c r="R144" i="11" s="1"/>
  <c r="S11" i="11"/>
  <c r="S30" i="11" s="1"/>
  <c r="S37" i="11" l="1"/>
  <c r="S43" i="11"/>
  <c r="T34" i="11"/>
  <c r="T38" i="11" s="1"/>
  <c r="S40" i="11"/>
  <c r="R141" i="11"/>
  <c r="S140" i="11"/>
  <c r="T15" i="11"/>
  <c r="S143" i="11"/>
  <c r="S144" i="11" s="1"/>
  <c r="T11" i="11"/>
  <c r="T30" i="11" s="1"/>
  <c r="T37" i="11" l="1"/>
  <c r="T43" i="11"/>
  <c r="U34" i="11"/>
  <c r="U38" i="11" s="1"/>
  <c r="T40" i="11"/>
  <c r="S141" i="11"/>
  <c r="T140" i="11"/>
  <c r="U15" i="11"/>
  <c r="T143" i="11"/>
  <c r="T144" i="11" s="1"/>
  <c r="U11" i="11"/>
  <c r="U30" i="11" s="1"/>
  <c r="U37" i="11" l="1"/>
  <c r="U43" i="11"/>
  <c r="V34" i="11"/>
  <c r="V38" i="11" s="1"/>
  <c r="U40" i="11"/>
  <c r="T141" i="11"/>
  <c r="U140" i="11"/>
  <c r="V15" i="11"/>
  <c r="U143" i="11"/>
  <c r="U144" i="11" s="1"/>
  <c r="V11" i="11"/>
  <c r="V30" i="11" s="1"/>
  <c r="V37" i="11" l="1"/>
  <c r="V43" i="11"/>
  <c r="W34" i="11"/>
  <c r="W38" i="11" s="1"/>
  <c r="V40" i="11"/>
  <c r="V140" i="11"/>
  <c r="U141" i="11"/>
  <c r="W15" i="11"/>
  <c r="V143" i="11"/>
  <c r="V144" i="11" s="1"/>
  <c r="W11" i="11"/>
  <c r="W30" i="11" s="1"/>
  <c r="W37" i="11" l="1"/>
  <c r="W43" i="11"/>
  <c r="X34" i="11"/>
  <c r="X38" i="11" s="1"/>
  <c r="W40" i="11"/>
  <c r="V141" i="11"/>
  <c r="W140" i="11"/>
  <c r="X15" i="11"/>
  <c r="W143" i="11"/>
  <c r="W144" i="11" s="1"/>
  <c r="X11" i="11"/>
  <c r="X30" i="11" s="1"/>
  <c r="X37" i="11" l="1"/>
  <c r="X43" i="11"/>
  <c r="Y34" i="11"/>
  <c r="Y38" i="11" s="1"/>
  <c r="X40" i="11"/>
  <c r="W141" i="11"/>
  <c r="X140" i="11"/>
  <c r="Y15" i="11"/>
  <c r="X143" i="11"/>
  <c r="X144" i="11" s="1"/>
  <c r="Y11" i="11"/>
  <c r="Y30" i="11" s="1"/>
  <c r="Y37" i="11" l="1"/>
  <c r="Y43" i="11"/>
  <c r="Z34" i="11"/>
  <c r="Z38" i="11" s="1"/>
  <c r="Y40" i="11"/>
  <c r="Y140" i="11"/>
  <c r="X141" i="11"/>
  <c r="Z15" i="11"/>
  <c r="Y143" i="11"/>
  <c r="Z11" i="11"/>
  <c r="Z30" i="11" s="1"/>
  <c r="Z37" i="11" l="1"/>
  <c r="Z43" i="11"/>
  <c r="AA34" i="11"/>
  <c r="AA37" i="11" s="1"/>
  <c r="Z40" i="11"/>
  <c r="Y144" i="11"/>
  <c r="Z143" i="11"/>
  <c r="Y141" i="11"/>
  <c r="Z140" i="11"/>
  <c r="AA15" i="11"/>
  <c r="AB34" i="11" l="1"/>
  <c r="AB37" i="11" s="1"/>
  <c r="AA40" i="11"/>
  <c r="Z141" i="11"/>
  <c r="AA140" i="11"/>
  <c r="Z144" i="11"/>
  <c r="AA143" i="11"/>
  <c r="AB15" i="11"/>
  <c r="AC34" i="11" l="1"/>
  <c r="AC37" i="11" s="1"/>
  <c r="AB40" i="11"/>
  <c r="AA144" i="11"/>
  <c r="AB143" i="11"/>
  <c r="AB140" i="11"/>
  <c r="AA141" i="11"/>
  <c r="AC15" i="11"/>
  <c r="AD34" i="11" l="1"/>
  <c r="AD37" i="11" s="1"/>
  <c r="AC40" i="11"/>
  <c r="AB144" i="11"/>
  <c r="AC143" i="11"/>
  <c r="AC140" i="11"/>
  <c r="AB141" i="11"/>
  <c r="AD15" i="11"/>
  <c r="AE34" i="11" l="1"/>
  <c r="AE37" i="11" s="1"/>
  <c r="AD40" i="11"/>
  <c r="AC144" i="11"/>
  <c r="AD143" i="11"/>
  <c r="AC141" i="11"/>
  <c r="AD140" i="11"/>
  <c r="AE15" i="11"/>
  <c r="AF34" i="11" l="1"/>
  <c r="AE40" i="11"/>
  <c r="AE140" i="11"/>
  <c r="AD141" i="11"/>
  <c r="AD144" i="11"/>
  <c r="AE143" i="11"/>
  <c r="AF15" i="11"/>
  <c r="AG15" i="11" s="1"/>
  <c r="AH15" i="11" s="1"/>
  <c r="AI15" i="11" s="1"/>
  <c r="AJ15" i="11" s="1"/>
  <c r="AG34" i="11" l="1"/>
  <c r="AF40" i="11"/>
  <c r="AE144" i="11"/>
  <c r="AF143" i="11"/>
  <c r="AF140" i="11"/>
  <c r="AE141" i="11"/>
  <c r="AH34" i="11" l="1"/>
  <c r="AG40" i="11"/>
  <c r="AF144" i="11"/>
  <c r="AG143" i="11"/>
  <c r="AF141" i="11"/>
  <c r="AG140" i="11"/>
  <c r="AI34" i="11" l="1"/>
  <c r="AH40" i="11"/>
  <c r="AH140" i="11"/>
  <c r="AG141" i="11"/>
  <c r="AG144" i="11"/>
  <c r="AH143" i="11"/>
  <c r="AJ34" i="11" l="1"/>
  <c r="AI40" i="11"/>
  <c r="AH144" i="11"/>
  <c r="AI143" i="11"/>
  <c r="AI140" i="11"/>
  <c r="AH141" i="11"/>
  <c r="AJ40" i="11" l="1"/>
  <c r="AI144" i="11"/>
  <c r="AJ143" i="11"/>
  <c r="AJ144" i="11" s="1"/>
  <c r="AI141" i="11"/>
  <c r="AJ140" i="11"/>
  <c r="AJ141" i="11" s="1"/>
  <c r="B80" i="12" l="1"/>
  <c r="D45" i="9"/>
  <c r="D41" i="9"/>
  <c r="D42" i="9"/>
  <c r="D26" i="9"/>
  <c r="D40" i="9"/>
  <c r="G84" i="7"/>
  <c r="D47" i="9" l="1"/>
  <c r="D46" i="9"/>
  <c r="D44" i="9"/>
  <c r="D43" i="9"/>
  <c r="AF28" i="11"/>
  <c r="AH28" i="11"/>
  <c r="AJ28" i="11"/>
  <c r="AG28" i="11"/>
  <c r="AI28" i="11"/>
  <c r="H28" i="11"/>
  <c r="I28" i="11"/>
  <c r="J28" i="11"/>
  <c r="K28" i="11"/>
  <c r="L28" i="11"/>
  <c r="M28" i="11"/>
  <c r="N28" i="11"/>
  <c r="O28" i="11"/>
  <c r="P28" i="11"/>
  <c r="V28" i="11"/>
  <c r="W28" i="11"/>
  <c r="X28" i="11"/>
  <c r="Y28" i="11"/>
  <c r="Z28" i="11"/>
  <c r="AA28" i="11"/>
  <c r="AB28" i="11"/>
  <c r="AC28" i="11"/>
  <c r="AD28" i="11"/>
  <c r="AE28" i="11"/>
  <c r="G28" i="11"/>
  <c r="U28" i="11" l="1"/>
  <c r="S28" i="11"/>
  <c r="Q28" i="11"/>
  <c r="T28" i="11"/>
  <c r="R28" i="11"/>
  <c r="P196" i="11"/>
  <c r="O196" i="11"/>
  <c r="M196" i="11"/>
  <c r="N196" i="11"/>
  <c r="L196" i="11"/>
  <c r="AG24" i="11"/>
  <c r="AG26" i="11"/>
  <c r="AI26" i="11"/>
  <c r="AI24" i="11"/>
  <c r="AJ26" i="11"/>
  <c r="AJ24" i="11"/>
  <c r="AF24" i="11"/>
  <c r="AF26" i="11"/>
  <c r="AH24" i="11"/>
  <c r="AH26" i="11"/>
  <c r="AE24" i="11"/>
  <c r="AA24" i="11"/>
  <c r="AD24" i="11"/>
  <c r="AB24" i="11"/>
  <c r="AC24" i="11"/>
  <c r="Z24" i="11"/>
  <c r="X24" i="11"/>
  <c r="V24" i="11"/>
  <c r="Y24" i="11"/>
  <c r="W24" i="11"/>
  <c r="AE26" i="11"/>
  <c r="AC26" i="11"/>
  <c r="AA26" i="11"/>
  <c r="AD26" i="11"/>
  <c r="AB26" i="11"/>
  <c r="Z26" i="11"/>
  <c r="X26" i="11"/>
  <c r="V26" i="11"/>
  <c r="T26" i="11"/>
  <c r="P26" i="11"/>
  <c r="N26" i="11"/>
  <c r="L26" i="11"/>
  <c r="J26" i="11"/>
  <c r="H26" i="11"/>
  <c r="Y26" i="11"/>
  <c r="W26" i="11"/>
  <c r="U26" i="11"/>
  <c r="S26" i="11"/>
  <c r="Q26" i="11"/>
  <c r="O26" i="11"/>
  <c r="M26" i="11"/>
  <c r="K26" i="11"/>
  <c r="I26" i="11"/>
  <c r="G26" i="11"/>
  <c r="R26" i="11"/>
  <c r="B105" i="12"/>
  <c r="F29" i="7" l="1"/>
  <c r="B55" i="12"/>
  <c r="B30" i="12"/>
  <c r="B5" i="12"/>
  <c r="AH96" i="11" l="1"/>
  <c r="AJ96" i="11"/>
  <c r="AH97" i="11"/>
  <c r="AJ97" i="11"/>
  <c r="AG96" i="11"/>
  <c r="AI96" i="11"/>
  <c r="AG97" i="11"/>
  <c r="AI97" i="11"/>
  <c r="AG102" i="11" l="1"/>
  <c r="AG56" i="11"/>
  <c r="AI53" i="11"/>
  <c r="AI95" i="11"/>
  <c r="F35" i="10" s="1"/>
  <c r="AH102" i="11"/>
  <c r="AH56" i="11"/>
  <c r="AJ53" i="11"/>
  <c r="AJ95" i="11"/>
  <c r="F36" i="10" s="1"/>
  <c r="AI102" i="11"/>
  <c r="AI56" i="11"/>
  <c r="AG53" i="11"/>
  <c r="AG95" i="11"/>
  <c r="F33" i="10" s="1"/>
  <c r="AJ102" i="11"/>
  <c r="AJ56" i="11"/>
  <c r="AH53" i="11"/>
  <c r="AH95" i="11"/>
  <c r="F34" i="10" s="1"/>
  <c r="U219" i="11" l="1"/>
  <c r="U57" i="11" s="1"/>
  <c r="G21" i="10" s="1"/>
  <c r="J234" i="11" l="1"/>
  <c r="N234" i="11" s="1"/>
  <c r="N224" i="11" l="1"/>
  <c r="N225" i="11" s="1"/>
  <c r="N226" i="11" s="1"/>
  <c r="N227" i="11" s="1"/>
  <c r="N228" i="11" s="1"/>
  <c r="N229" i="11" s="1"/>
  <c r="N230" i="11" s="1"/>
  <c r="N231" i="11" s="1"/>
  <c r="N232" i="11" s="1"/>
  <c r="N233" i="11" s="1"/>
  <c r="S223" i="11" l="1"/>
  <c r="R223" i="11"/>
  <c r="G82" i="11" s="1"/>
  <c r="G19" i="11" l="1"/>
  <c r="G20" i="11" l="1"/>
  <c r="H20" i="11" s="1"/>
  <c r="I20" i="11" s="1"/>
  <c r="J20" i="11" s="1"/>
  <c r="K20" i="11" s="1"/>
  <c r="L20" i="11" s="1"/>
  <c r="M20" i="11" s="1"/>
  <c r="N20" i="11" s="1"/>
  <c r="O20" i="11" s="1"/>
  <c r="P20" i="11" s="1"/>
  <c r="Q20" i="11" s="1"/>
  <c r="R20" i="11" s="1"/>
  <c r="S20" i="11" s="1"/>
  <c r="T20" i="11" s="1"/>
  <c r="U20" i="11" s="1"/>
  <c r="V20" i="11" s="1"/>
  <c r="W20" i="11" s="1"/>
  <c r="X20" i="11" s="1"/>
  <c r="Y20" i="11" s="1"/>
  <c r="Z20" i="11" s="1"/>
  <c r="AA20" i="11" s="1"/>
  <c r="AB20" i="11" s="1"/>
  <c r="AC20" i="11" s="1"/>
  <c r="AD20" i="11" s="1"/>
  <c r="AE20" i="11" s="1"/>
  <c r="AF20" i="11" s="1"/>
  <c r="AG20" i="11" s="1"/>
  <c r="AH20" i="11" s="1"/>
  <c r="AI20" i="11" s="1"/>
  <c r="AJ20" i="11" s="1"/>
  <c r="D7" i="9"/>
  <c r="H19" i="11"/>
  <c r="I19" i="11" s="1"/>
  <c r="G21" i="11" l="1"/>
  <c r="C7" i="10" s="1"/>
  <c r="H21" i="11"/>
  <c r="C8" i="10" s="1"/>
  <c r="I21" i="11"/>
  <c r="J19" i="11"/>
  <c r="G22" i="11" l="1"/>
  <c r="H22" i="11"/>
  <c r="K19" i="11"/>
  <c r="J21" i="11"/>
  <c r="I22" i="11"/>
  <c r="C9" i="10"/>
  <c r="H44" i="11" l="1"/>
  <c r="I44" i="11"/>
  <c r="G44" i="11"/>
  <c r="G49" i="7" s="1"/>
  <c r="L19" i="11"/>
  <c r="K21" i="11"/>
  <c r="J22" i="11"/>
  <c r="C10" i="10"/>
  <c r="J44" i="11" l="1"/>
  <c r="M19" i="11"/>
  <c r="L21" i="11"/>
  <c r="K22" i="11"/>
  <c r="C11" i="10"/>
  <c r="K44" i="11" l="1"/>
  <c r="L22" i="11"/>
  <c r="C12" i="10"/>
  <c r="N19" i="11"/>
  <c r="M21" i="11"/>
  <c r="L44" i="11" l="1"/>
  <c r="C13" i="10"/>
  <c r="M22" i="11"/>
  <c r="O19" i="11"/>
  <c r="N21" i="11"/>
  <c r="M44" i="11" l="1"/>
  <c r="C14" i="10"/>
  <c r="N22" i="11"/>
  <c r="O21" i="11"/>
  <c r="P19" i="11"/>
  <c r="N44" i="11" l="1"/>
  <c r="P21" i="11"/>
  <c r="Q19" i="11"/>
  <c r="C15" i="10"/>
  <c r="O22" i="11"/>
  <c r="O44" i="11" l="1"/>
  <c r="P22" i="11"/>
  <c r="C16" i="10"/>
  <c r="Q21" i="11"/>
  <c r="R19" i="11"/>
  <c r="P44" i="11" l="1"/>
  <c r="S19" i="11"/>
  <c r="R21" i="11"/>
  <c r="C17" i="10"/>
  <c r="Q22" i="11"/>
  <c r="Q44" i="11" l="1"/>
  <c r="C18" i="10"/>
  <c r="R22" i="11"/>
  <c r="T19" i="11"/>
  <c r="S21" i="11"/>
  <c r="R44" i="11" l="1"/>
  <c r="U19" i="11"/>
  <c r="T21" i="11"/>
  <c r="C19" i="10"/>
  <c r="S22" i="11"/>
  <c r="S44" i="11" l="1"/>
  <c r="T22" i="11"/>
  <c r="C20" i="10"/>
  <c r="V19" i="11"/>
  <c r="U21" i="11"/>
  <c r="T44" i="11" l="1"/>
  <c r="V21" i="11"/>
  <c r="W19" i="11"/>
  <c r="U22" i="11"/>
  <c r="C21" i="10"/>
  <c r="U44" i="11" l="1"/>
  <c r="V22" i="11"/>
  <c r="C22" i="10"/>
  <c r="W21" i="11"/>
  <c r="X19" i="11"/>
  <c r="V44" i="11" l="1"/>
  <c r="X21" i="11"/>
  <c r="Y19" i="11"/>
  <c r="W22" i="11"/>
  <c r="C23" i="10"/>
  <c r="W44" i="11" l="1"/>
  <c r="X22" i="11"/>
  <c r="C24" i="10"/>
  <c r="Y21" i="11"/>
  <c r="Z19" i="11"/>
  <c r="X44" i="11" l="1"/>
  <c r="Y22" i="11"/>
  <c r="C25" i="10"/>
  <c r="AA19" i="11"/>
  <c r="Z21" i="11"/>
  <c r="Y44" i="11" l="1"/>
  <c r="AA21" i="11"/>
  <c r="AB19" i="11"/>
  <c r="Z22" i="11"/>
  <c r="C26" i="10"/>
  <c r="Z44" i="11" l="1"/>
  <c r="AC19" i="11"/>
  <c r="AB21" i="11"/>
  <c r="C27" i="10"/>
  <c r="AA22" i="11"/>
  <c r="AA44" i="11" l="1"/>
  <c r="AB22" i="11"/>
  <c r="C28" i="10"/>
  <c r="AC21" i="11"/>
  <c r="AD19" i="11"/>
  <c r="AB44" i="11" l="1"/>
  <c r="AC22" i="11"/>
  <c r="C29" i="10"/>
  <c r="AE19" i="11"/>
  <c r="AD21" i="11"/>
  <c r="AC44" i="11" l="1"/>
  <c r="AE21" i="11"/>
  <c r="AE22" i="11" s="1"/>
  <c r="AF19" i="11"/>
  <c r="C31" i="10"/>
  <c r="AD22" i="11"/>
  <c r="C30" i="10"/>
  <c r="AE44" i="11" l="1"/>
  <c r="AD44" i="11"/>
  <c r="AF21" i="11"/>
  <c r="AG19" i="11"/>
  <c r="AH19" i="11" l="1"/>
  <c r="AG21" i="11"/>
  <c r="AF22" i="11"/>
  <c r="C32" i="10"/>
  <c r="AD210" i="11"/>
  <c r="AD219" i="11" s="1"/>
  <c r="AD57" i="11" s="1"/>
  <c r="G30" i="10" s="1"/>
  <c r="AF44" i="11" l="1"/>
  <c r="C33" i="10"/>
  <c r="AG22" i="11"/>
  <c r="AI19" i="11"/>
  <c r="AH21" i="11"/>
  <c r="AF96" i="11"/>
  <c r="AE96" i="11"/>
  <c r="AD96" i="11"/>
  <c r="AB97" i="11"/>
  <c r="AF97" i="11"/>
  <c r="AC96" i="11"/>
  <c r="AA97" i="11"/>
  <c r="AE97" i="11"/>
  <c r="AB96" i="11"/>
  <c r="AD97" i="11"/>
  <c r="AA96" i="11"/>
  <c r="AC97" i="11"/>
  <c r="AG44" i="11" l="1"/>
  <c r="AJ19" i="11"/>
  <c r="AJ21" i="11" s="1"/>
  <c r="AI21" i="11"/>
  <c r="C34" i="10"/>
  <c r="AH22" i="11"/>
  <c r="AA53" i="11"/>
  <c r="AA95" i="11"/>
  <c r="F27" i="10" s="1"/>
  <c r="AB95" i="11"/>
  <c r="F28" i="10" s="1"/>
  <c r="AB53" i="11"/>
  <c r="AA102" i="11"/>
  <c r="AA56" i="11"/>
  <c r="AF56" i="11"/>
  <c r="AF102" i="11"/>
  <c r="AD95" i="11"/>
  <c r="F30" i="10" s="1"/>
  <c r="AD53" i="11"/>
  <c r="AF95" i="11"/>
  <c r="F32" i="10" s="1"/>
  <c r="AF53" i="11"/>
  <c r="AC102" i="11"/>
  <c r="AC56" i="11"/>
  <c r="AD56" i="11"/>
  <c r="AD102" i="11"/>
  <c r="AE102" i="11"/>
  <c r="AE56" i="11"/>
  <c r="AC53" i="11"/>
  <c r="AC95" i="11"/>
  <c r="F29" i="10" s="1"/>
  <c r="AB102" i="11"/>
  <c r="AB56" i="11"/>
  <c r="AE95" i="11"/>
  <c r="F31" i="10" s="1"/>
  <c r="AE53" i="11"/>
  <c r="AH44" i="11" l="1"/>
  <c r="D14" i="9"/>
  <c r="C36" i="10"/>
  <c r="AJ22" i="11"/>
  <c r="C35" i="10"/>
  <c r="AI22" i="11"/>
  <c r="H209" i="11"/>
  <c r="H219" i="11" s="1"/>
  <c r="H57" i="11" s="1"/>
  <c r="G8" i="10" s="1"/>
  <c r="AG209" i="11"/>
  <c r="AG219" i="11" s="1"/>
  <c r="AG57" i="11" s="1"/>
  <c r="AF209" i="11"/>
  <c r="AF219" i="11" s="1"/>
  <c r="AF57" i="11" s="1"/>
  <c r="G32" i="10" s="1"/>
  <c r="G33" i="10"/>
  <c r="AI44" i="11" l="1"/>
  <c r="AJ44" i="11"/>
  <c r="P27" i="10"/>
  <c r="P32" i="10" l="1"/>
  <c r="P28" i="10"/>
  <c r="P29" i="10" l="1"/>
  <c r="P30" i="10" l="1"/>
  <c r="P31" i="10" l="1"/>
  <c r="G209" i="11" l="1"/>
  <c r="AE210" i="11" l="1"/>
  <c r="AE219" i="11" s="1"/>
  <c r="AE57" i="11" s="1"/>
  <c r="G31" i="10" s="1"/>
  <c r="V96" i="11" l="1"/>
  <c r="V53" i="11" s="1"/>
  <c r="V97" i="11"/>
  <c r="V102" i="11" s="1"/>
  <c r="X96" i="11"/>
  <c r="X53" i="11" s="1"/>
  <c r="Y97" i="11"/>
  <c r="Y102" i="11" s="1"/>
  <c r="W97" i="11"/>
  <c r="W102" i="11" s="1"/>
  <c r="W96" i="11"/>
  <c r="Z97" i="11"/>
  <c r="X97" i="11"/>
  <c r="Y96" i="11"/>
  <c r="V95" i="11" l="1"/>
  <c r="F22" i="10" s="1"/>
  <c r="V56" i="11"/>
  <c r="Y56" i="11"/>
  <c r="W56" i="11"/>
  <c r="X56" i="11"/>
  <c r="X102" i="11"/>
  <c r="X95" i="11"/>
  <c r="F24" i="10" s="1"/>
  <c r="Z102" i="11"/>
  <c r="Z56" i="11"/>
  <c r="Y53" i="11"/>
  <c r="Y95" i="11"/>
  <c r="F25" i="10" s="1"/>
  <c r="W53" i="11"/>
  <c r="W95" i="11"/>
  <c r="F23" i="10" s="1"/>
  <c r="AD199" i="11" l="1"/>
  <c r="AH199" i="11"/>
  <c r="AC199" i="11"/>
  <c r="AG199" i="11"/>
  <c r="AB199" i="11"/>
  <c r="AF199" i="11"/>
  <c r="AE199" i="11"/>
  <c r="AI199" i="11"/>
  <c r="AJ199" i="11"/>
  <c r="Y209" i="11"/>
  <c r="Y219" i="11" s="1"/>
  <c r="Y57" i="11" s="1"/>
  <c r="G25" i="10" s="1"/>
  <c r="AA209" i="11"/>
  <c r="AA219" i="11" s="1"/>
  <c r="AA57" i="11" s="1"/>
  <c r="G27" i="10" s="1"/>
  <c r="AJ189" i="11" l="1"/>
  <c r="AJ188" i="11"/>
  <c r="AI189" i="11"/>
  <c r="AI188" i="11"/>
  <c r="AF189" i="11"/>
  <c r="AF188" i="11"/>
  <c r="AB189" i="11"/>
  <c r="AB188" i="11"/>
  <c r="AG189" i="11"/>
  <c r="AG188" i="11"/>
  <c r="AC189" i="11"/>
  <c r="AC188" i="11"/>
  <c r="AH188" i="11"/>
  <c r="AH189" i="11"/>
  <c r="AD189" i="11"/>
  <c r="AD188" i="11"/>
  <c r="AE189" i="11"/>
  <c r="AE188" i="11"/>
  <c r="AJ202" i="11"/>
  <c r="AJ203" i="11"/>
  <c r="AJ76" i="11" s="1"/>
  <c r="AI203" i="11"/>
  <c r="AI76" i="11" s="1"/>
  <c r="AI202" i="11"/>
  <c r="AE203" i="11"/>
  <c r="AE76" i="11" s="1"/>
  <c r="AE202" i="11"/>
  <c r="AF203" i="11"/>
  <c r="AF76" i="11" s="1"/>
  <c r="AF202" i="11"/>
  <c r="AB203" i="11"/>
  <c r="AB76" i="11" s="1"/>
  <c r="AB202" i="11"/>
  <c r="AG202" i="11"/>
  <c r="AG203" i="11"/>
  <c r="AG76" i="11" s="1"/>
  <c r="AC203" i="11"/>
  <c r="AC76" i="11" s="1"/>
  <c r="AC202" i="11"/>
  <c r="AH203" i="11"/>
  <c r="AH76" i="11" s="1"/>
  <c r="AH202" i="11"/>
  <c r="AD202" i="11"/>
  <c r="AD203" i="11"/>
  <c r="AD76" i="11" s="1"/>
  <c r="P22" i="10" l="1"/>
  <c r="P23" i="10" l="1"/>
  <c r="P24" i="10" l="1"/>
  <c r="P26" i="10" l="1"/>
  <c r="P25" i="10"/>
  <c r="Z96" i="11"/>
  <c r="Z53" i="11" s="1"/>
  <c r="Z95" i="11" l="1"/>
  <c r="F26" i="10" s="1"/>
  <c r="I193" i="11" l="1"/>
  <c r="I196" i="11" s="1"/>
  <c r="K193" i="11"/>
  <c r="K196" i="11" s="1"/>
  <c r="H193" i="11"/>
  <c r="H196" i="11" s="1"/>
  <c r="J193" i="11"/>
  <c r="J196" i="11" s="1"/>
  <c r="G199" i="11" l="1"/>
  <c r="G185" i="11" l="1"/>
  <c r="G202" i="11"/>
  <c r="G203" i="11"/>
  <c r="H199" i="11"/>
  <c r="H185" i="11" l="1"/>
  <c r="G188" i="11"/>
  <c r="G189" i="11" s="1"/>
  <c r="H202" i="11"/>
  <c r="H203" i="11"/>
  <c r="H76" i="11" s="1"/>
  <c r="I199" i="11"/>
  <c r="G204" i="11"/>
  <c r="H201" i="11" s="1"/>
  <c r="I185" i="11" l="1"/>
  <c r="G190" i="11"/>
  <c r="H187" i="11" s="1"/>
  <c r="H188" i="11"/>
  <c r="H189" i="11"/>
  <c r="H204" i="11"/>
  <c r="I201" i="11" s="1"/>
  <c r="I202" i="11"/>
  <c r="I203" i="11"/>
  <c r="I76" i="11" s="1"/>
  <c r="H190" i="11" l="1"/>
  <c r="I187" i="11" s="1"/>
  <c r="I188" i="11"/>
  <c r="I189" i="11"/>
  <c r="J199" i="11"/>
  <c r="I204" i="11"/>
  <c r="J201" i="11" s="1"/>
  <c r="I190" i="11" l="1"/>
  <c r="J187" i="11" s="1"/>
  <c r="J188" i="11"/>
  <c r="J189" i="11"/>
  <c r="J202" i="11"/>
  <c r="J203" i="11"/>
  <c r="J76" i="11" s="1"/>
  <c r="K199" i="11"/>
  <c r="K188" i="11" l="1"/>
  <c r="K189" i="11"/>
  <c r="J190" i="11"/>
  <c r="K187" i="11" s="1"/>
  <c r="J204" i="11"/>
  <c r="K201" i="11" s="1"/>
  <c r="K202" i="11"/>
  <c r="K203" i="11"/>
  <c r="K76" i="11" s="1"/>
  <c r="K190" i="11" l="1"/>
  <c r="L187" i="11" s="1"/>
  <c r="K204" i="11"/>
  <c r="L201" i="11" s="1"/>
  <c r="K185" i="11" l="1"/>
  <c r="L199" i="11"/>
  <c r="L188" i="11" l="1"/>
  <c r="L189" i="11"/>
  <c r="L203" i="11"/>
  <c r="L76" i="11" s="1"/>
  <c r="L202" i="11"/>
  <c r="M199" i="11"/>
  <c r="M188" i="11" l="1"/>
  <c r="M189" i="11"/>
  <c r="L190" i="11"/>
  <c r="M187" i="11" s="1"/>
  <c r="L204" i="11"/>
  <c r="M201" i="11" s="1"/>
  <c r="M203" i="11"/>
  <c r="M76" i="11" s="1"/>
  <c r="M202" i="11"/>
  <c r="M204" i="11" l="1"/>
  <c r="N201" i="11" s="1"/>
  <c r="M190" i="11"/>
  <c r="N187" i="11" s="1"/>
  <c r="N199" i="11"/>
  <c r="N189" i="11" l="1"/>
  <c r="N188" i="11"/>
  <c r="N203" i="11"/>
  <c r="N76" i="11" s="1"/>
  <c r="N202" i="11"/>
  <c r="N190" i="11" l="1"/>
  <c r="O187" i="11" s="1"/>
  <c r="N204" i="11"/>
  <c r="O201" i="11" s="1"/>
  <c r="O199" i="11"/>
  <c r="O188" i="11" l="1"/>
  <c r="O189" i="11"/>
  <c r="O202" i="11"/>
  <c r="O203" i="11"/>
  <c r="O76" i="11" s="1"/>
  <c r="O190" i="11" l="1"/>
  <c r="P187" i="11" s="1"/>
  <c r="O204" i="11"/>
  <c r="P201" i="11" s="1"/>
  <c r="P199" i="11"/>
  <c r="P188" i="11" l="1"/>
  <c r="P189" i="11"/>
  <c r="P202" i="11"/>
  <c r="P203" i="11"/>
  <c r="P76" i="11" s="1"/>
  <c r="P190" i="11" l="1"/>
  <c r="Q187" i="11" s="1"/>
  <c r="P204" i="11"/>
  <c r="Q201" i="11" s="1"/>
  <c r="Q199" i="11"/>
  <c r="Q189" i="11" l="1"/>
  <c r="Q188" i="11"/>
  <c r="Q202" i="11"/>
  <c r="Q203" i="11"/>
  <c r="Q76" i="11" s="1"/>
  <c r="R199" i="11"/>
  <c r="R188" i="11" l="1"/>
  <c r="R189" i="11"/>
  <c r="Q190" i="11"/>
  <c r="R187" i="11" s="1"/>
  <c r="R202" i="11"/>
  <c r="R203" i="11"/>
  <c r="R76" i="11" s="1"/>
  <c r="Q204" i="11"/>
  <c r="R201" i="11" s="1"/>
  <c r="R190" i="11" l="1"/>
  <c r="S187" i="11" s="1"/>
  <c r="R204" i="11"/>
  <c r="S201" i="11" s="1"/>
  <c r="S199" i="11" l="1"/>
  <c r="S188" i="11" l="1"/>
  <c r="S189" i="11"/>
  <c r="T199" i="11"/>
  <c r="S202" i="11"/>
  <c r="S203" i="11"/>
  <c r="S76" i="11" s="1"/>
  <c r="T188" i="11" l="1"/>
  <c r="S190" i="11"/>
  <c r="T187" i="11" s="1"/>
  <c r="S204" i="11"/>
  <c r="T201" i="11" s="1"/>
  <c r="U199" i="11"/>
  <c r="T202" i="11"/>
  <c r="T203" i="11"/>
  <c r="T76" i="11" s="1"/>
  <c r="T189" i="11" l="1"/>
  <c r="U188" i="11"/>
  <c r="T204" i="11"/>
  <c r="U201" i="11" s="1"/>
  <c r="U203" i="11"/>
  <c r="U76" i="11" s="1"/>
  <c r="U202" i="11"/>
  <c r="U204" i="11" l="1"/>
  <c r="V201" i="11" s="1"/>
  <c r="T190" i="11"/>
  <c r="V199" i="11"/>
  <c r="V188" i="11" l="1"/>
  <c r="U187" i="11"/>
  <c r="U189" i="11"/>
  <c r="W199" i="11"/>
  <c r="V202" i="11"/>
  <c r="V203" i="11"/>
  <c r="V76" i="11" s="1"/>
  <c r="U190" i="11" l="1"/>
  <c r="W188" i="11"/>
  <c r="V204" i="11"/>
  <c r="W201" i="11" s="1"/>
  <c r="W202" i="11"/>
  <c r="V187" i="11" l="1"/>
  <c r="V189" i="11"/>
  <c r="W203" i="11"/>
  <c r="W76" i="11" s="1"/>
  <c r="W204" i="11" l="1"/>
  <c r="X201" i="11" s="1"/>
  <c r="V190" i="11"/>
  <c r="X199" i="11"/>
  <c r="W187" i="11" l="1"/>
  <c r="W189" i="11"/>
  <c r="X188" i="11"/>
  <c r="Y199" i="11"/>
  <c r="X202" i="11"/>
  <c r="X203" i="11"/>
  <c r="X76" i="11" s="1"/>
  <c r="Y188" i="11" l="1"/>
  <c r="W190" i="11"/>
  <c r="Y202" i="11"/>
  <c r="Z199" i="11"/>
  <c r="X204" i="11"/>
  <c r="Y201" i="11" s="1"/>
  <c r="Z188" i="11" l="1"/>
  <c r="X187" i="11"/>
  <c r="X189" i="11"/>
  <c r="AA199" i="11"/>
  <c r="Z202" i="11"/>
  <c r="Y203" i="11"/>
  <c r="Y76" i="11" s="1"/>
  <c r="X190" i="11" l="1"/>
  <c r="AA188" i="11"/>
  <c r="Y204" i="11"/>
  <c r="Z201" i="11" s="1"/>
  <c r="AA202" i="11"/>
  <c r="AA203" i="11"/>
  <c r="AA76" i="11" s="1"/>
  <c r="Y187" i="11" l="1"/>
  <c r="Y189" i="11"/>
  <c r="Z203" i="11"/>
  <c r="Z76" i="11" s="1"/>
  <c r="Y190" i="11" l="1"/>
  <c r="Z204" i="11"/>
  <c r="AA201" i="11" s="1"/>
  <c r="AA204" i="11" s="1"/>
  <c r="AB201" i="11" s="1"/>
  <c r="AB204" i="11" s="1"/>
  <c r="AC201" i="11" s="1"/>
  <c r="AC204" i="11" s="1"/>
  <c r="AD201" i="11" s="1"/>
  <c r="AD204" i="11" s="1"/>
  <c r="AE201" i="11" s="1"/>
  <c r="AE204" i="11" s="1"/>
  <c r="AF201" i="11" s="1"/>
  <c r="AF204" i="11" s="1"/>
  <c r="AG201" i="11" s="1"/>
  <c r="AG204" i="11" s="1"/>
  <c r="AH201" i="11" s="1"/>
  <c r="AH204" i="11" s="1"/>
  <c r="AI201" i="11" s="1"/>
  <c r="AI204" i="11" s="1"/>
  <c r="AJ201" i="11" s="1"/>
  <c r="AJ204" i="11" s="1"/>
  <c r="Z187" i="11" l="1"/>
  <c r="Z189" i="11"/>
  <c r="Z190" i="11" l="1"/>
  <c r="AA187" i="11" l="1"/>
  <c r="AA189" i="11"/>
  <c r="AA190" i="11" l="1"/>
  <c r="AB187" i="11" s="1"/>
  <c r="AB190" i="11" s="1"/>
  <c r="AC187" i="11" s="1"/>
  <c r="AC190" i="11" s="1"/>
  <c r="AD187" i="11" s="1"/>
  <c r="AD190" i="11" s="1"/>
  <c r="AE187" i="11" s="1"/>
  <c r="AE190" i="11" s="1"/>
  <c r="AF187" i="11" s="1"/>
  <c r="AF190" i="11" s="1"/>
  <c r="AG187" i="11" s="1"/>
  <c r="AG190" i="11" s="1"/>
  <c r="AH187" i="11" s="1"/>
  <c r="AH190" i="11" s="1"/>
  <c r="AI187" i="11" s="1"/>
  <c r="AI190" i="11" s="1"/>
  <c r="AJ187" i="11" s="1"/>
  <c r="AJ190" i="11" s="1"/>
  <c r="Z185" i="11"/>
  <c r="Y185" i="11"/>
  <c r="X185" i="11"/>
  <c r="AA185" i="11"/>
  <c r="W185" i="11"/>
  <c r="V185" i="11"/>
  <c r="U185" i="11"/>
  <c r="T185" i="11"/>
  <c r="S185" i="11"/>
  <c r="R185" i="11"/>
  <c r="Q185" i="11"/>
  <c r="P185" i="11"/>
  <c r="O185" i="11"/>
  <c r="N185" i="11"/>
  <c r="L185" i="11"/>
  <c r="M185" i="11"/>
  <c r="J185" i="11"/>
  <c r="AI39" i="11" l="1"/>
  <c r="AI45" i="11" s="1"/>
  <c r="AH39" i="11"/>
  <c r="AH45" i="11" s="1"/>
  <c r="AG39" i="11"/>
  <c r="AG45" i="11" s="1"/>
  <c r="AE39" i="11"/>
  <c r="AE45" i="11" s="1"/>
  <c r="AC39" i="11"/>
  <c r="AC45" i="11" s="1"/>
  <c r="AF39" i="11"/>
  <c r="AF45" i="11" s="1"/>
  <c r="AJ39" i="11"/>
  <c r="AJ45" i="11" s="1"/>
  <c r="AD39" i="11"/>
  <c r="AD45" i="11" s="1"/>
  <c r="AB39" i="11"/>
  <c r="AB45" i="11" s="1"/>
  <c r="AA39" i="11"/>
  <c r="AA45" i="11" s="1"/>
  <c r="AA46" i="11" l="1"/>
  <c r="AA47" i="11"/>
  <c r="E27" i="10"/>
  <c r="S27" i="10" s="1"/>
  <c r="E30" i="10"/>
  <c r="S30" i="10" s="1"/>
  <c r="AD47" i="11"/>
  <c r="AD46" i="11"/>
  <c r="AF47" i="11"/>
  <c r="AF46" i="11"/>
  <c r="E32" i="10"/>
  <c r="S32" i="10" s="1"/>
  <c r="AE46" i="11"/>
  <c r="AE47" i="11"/>
  <c r="E31" i="10"/>
  <c r="S31" i="10" s="1"/>
  <c r="AH46" i="11"/>
  <c r="AH47" i="11"/>
  <c r="E34" i="10"/>
  <c r="S34" i="10" s="1"/>
  <c r="E28" i="10"/>
  <c r="S28" i="10" s="1"/>
  <c r="AB46" i="11"/>
  <c r="AB47" i="11"/>
  <c r="AJ47" i="11"/>
  <c r="AJ46" i="11"/>
  <c r="E36" i="10"/>
  <c r="AC46" i="11"/>
  <c r="AC47" i="11"/>
  <c r="E29" i="10"/>
  <c r="S29" i="10" s="1"/>
  <c r="AG46" i="11"/>
  <c r="AG47" i="11"/>
  <c r="E33" i="10"/>
  <c r="S33" i="10" s="1"/>
  <c r="E35" i="10"/>
  <c r="S35" i="10" s="1"/>
  <c r="AI46" i="11"/>
  <c r="AI47" i="11"/>
  <c r="G36" i="10" l="1"/>
  <c r="S36" i="10" s="1"/>
  <c r="G210" i="11"/>
  <c r="G219" i="11" s="1"/>
  <c r="G57" i="11" s="1"/>
  <c r="G7" i="10" s="1"/>
  <c r="AC152" i="11" l="1"/>
  <c r="AC67" i="11" s="1"/>
  <c r="AC154" i="11" l="1"/>
  <c r="AA216" i="11" l="1"/>
  <c r="AB208" i="11" s="1"/>
  <c r="AB216" i="11" l="1"/>
  <c r="AC208" i="11" s="1"/>
  <c r="D27" i="10" l="1"/>
  <c r="AB218" i="11"/>
  <c r="AB29" i="11" s="1"/>
  <c r="AB31" i="11" s="1"/>
  <c r="AC216" i="11"/>
  <c r="AD208" i="11" s="1"/>
  <c r="D28" i="10" l="1"/>
  <c r="AB49" i="11"/>
  <c r="AB54" i="11" s="1"/>
  <c r="AC218" i="11"/>
  <c r="AC29" i="11" s="1"/>
  <c r="AC31" i="11" s="1"/>
  <c r="AD216" i="11"/>
  <c r="AE208" i="11" s="1"/>
  <c r="H27" i="10"/>
  <c r="D29" i="10" l="1"/>
  <c r="AC49" i="11"/>
  <c r="AC54" i="11" s="1"/>
  <c r="H28" i="10"/>
  <c r="AD218" i="11"/>
  <c r="AD29" i="11" s="1"/>
  <c r="AD31" i="11" s="1"/>
  <c r="AE216" i="11"/>
  <c r="AF208" i="11" s="1"/>
  <c r="AB59" i="11"/>
  <c r="AB63" i="11" s="1"/>
  <c r="AB64" i="11" s="1"/>
  <c r="J27" i="10" l="1"/>
  <c r="I27" i="10"/>
  <c r="AF216" i="11"/>
  <c r="AG208" i="11" s="1"/>
  <c r="H29" i="10"/>
  <c r="AD49" i="11"/>
  <c r="AD54" i="11" s="1"/>
  <c r="D30" i="10"/>
  <c r="AC59" i="11"/>
  <c r="AC63" i="11" s="1"/>
  <c r="AC64" i="11" s="1"/>
  <c r="AC68" i="11"/>
  <c r="AC159" i="11" s="1"/>
  <c r="AE218" i="11"/>
  <c r="AE29" i="11" s="1"/>
  <c r="AE31" i="11" s="1"/>
  <c r="AD59" i="11" l="1"/>
  <c r="AD63" i="11" s="1"/>
  <c r="AD64" i="11" s="1"/>
  <c r="AE49" i="11"/>
  <c r="AE54" i="11" s="1"/>
  <c r="D31" i="10"/>
  <c r="AC171" i="11"/>
  <c r="AC163" i="11"/>
  <c r="H30" i="10"/>
  <c r="AF218" i="11"/>
  <c r="AF29" i="11" s="1"/>
  <c r="AF31" i="11" s="1"/>
  <c r="AG216" i="11"/>
  <c r="AH208" i="11" s="1"/>
  <c r="H31" i="10" l="1"/>
  <c r="AH216" i="11"/>
  <c r="AI208" i="11" s="1"/>
  <c r="K27" i="10"/>
  <c r="AF49" i="11"/>
  <c r="AF54" i="11" s="1"/>
  <c r="D32" i="10"/>
  <c r="AE59" i="11"/>
  <c r="AE63" i="11" s="1"/>
  <c r="AE64" i="11" s="1"/>
  <c r="AG218" i="11"/>
  <c r="AG29" i="11" s="1"/>
  <c r="AG31" i="11" s="1"/>
  <c r="AG49" i="11" l="1"/>
  <c r="AG54" i="11" s="1"/>
  <c r="D33" i="10"/>
  <c r="H33" i="10" s="1"/>
  <c r="H32" i="10"/>
  <c r="R27" i="10"/>
  <c r="M27" i="10"/>
  <c r="AH218" i="11"/>
  <c r="AH29" i="11" s="1"/>
  <c r="AH31" i="11" s="1"/>
  <c r="AF59" i="11"/>
  <c r="AF63" i="11" s="1"/>
  <c r="AF64" i="11" s="1"/>
  <c r="AI216" i="11"/>
  <c r="AJ208" i="11" s="1"/>
  <c r="AJ216" i="11" s="1"/>
  <c r="AJ218" i="11" s="1"/>
  <c r="AJ29" i="11" s="1"/>
  <c r="AJ31" i="11" s="1"/>
  <c r="AJ49" i="11" l="1"/>
  <c r="AJ54" i="11" s="1"/>
  <c r="D36" i="10"/>
  <c r="AG59" i="11"/>
  <c r="AG63" i="11" s="1"/>
  <c r="AG64" i="11" s="1"/>
  <c r="AI218" i="11"/>
  <c r="AI29" i="11" s="1"/>
  <c r="AI31" i="11" s="1"/>
  <c r="D34" i="10"/>
  <c r="AH49" i="11"/>
  <c r="AH54" i="11" s="1"/>
  <c r="AH59" i="11" l="1"/>
  <c r="AH63" i="11" s="1"/>
  <c r="AH64" i="11" s="1"/>
  <c r="AI49" i="11"/>
  <c r="AI54" i="11" s="1"/>
  <c r="D35" i="10"/>
  <c r="H36" i="10"/>
  <c r="H34" i="10"/>
  <c r="AI59" i="11" l="1"/>
  <c r="AI63" i="11" s="1"/>
  <c r="AI64" i="11" s="1"/>
  <c r="H35" i="10"/>
  <c r="I28" i="10" l="1"/>
  <c r="J28" i="10"/>
  <c r="AC172" i="11" l="1"/>
  <c r="AC164" i="11"/>
  <c r="AC167" i="11" s="1"/>
  <c r="AC70" i="11" s="1"/>
  <c r="AB185" i="11"/>
  <c r="K28" i="10"/>
  <c r="AC175" i="11" l="1"/>
  <c r="AC71" i="11" s="1"/>
  <c r="R28" i="10"/>
  <c r="M28" i="10"/>
  <c r="I29" i="10"/>
  <c r="AC74" i="11" l="1"/>
  <c r="J29" i="10"/>
  <c r="L29" i="10" l="1"/>
  <c r="AC73" i="11"/>
  <c r="I30" i="10"/>
  <c r="J30" i="10"/>
  <c r="AD185" i="11" l="1"/>
  <c r="K30" i="10"/>
  <c r="AC185" i="11"/>
  <c r="K29" i="10"/>
  <c r="AC77" i="11"/>
  <c r="R29" i="10" l="1"/>
  <c r="M29" i="10"/>
  <c r="R30" i="10"/>
  <c r="M30" i="10"/>
  <c r="I31" i="10"/>
  <c r="J31" i="10" l="1"/>
  <c r="I32" i="10" l="1"/>
  <c r="L31" i="10"/>
  <c r="J32" i="10"/>
  <c r="AE185" i="11" l="1"/>
  <c r="K31" i="10"/>
  <c r="AF185" i="11"/>
  <c r="K32" i="10"/>
  <c r="I33" i="10" l="1"/>
  <c r="R31" i="10"/>
  <c r="M31" i="10"/>
  <c r="R32" i="10"/>
  <c r="M32" i="10"/>
  <c r="J33" i="10" l="1"/>
  <c r="J34" i="10" l="1"/>
  <c r="L33" i="10"/>
  <c r="I34" i="10"/>
  <c r="AG185" i="11" l="1"/>
  <c r="K33" i="10"/>
  <c r="AH185" i="11"/>
  <c r="K34" i="10"/>
  <c r="R34" i="10" l="1"/>
  <c r="M34" i="10"/>
  <c r="I35" i="10"/>
  <c r="R33" i="10"/>
  <c r="M33" i="10"/>
  <c r="J35" i="10" l="1"/>
  <c r="J36" i="10" l="1"/>
  <c r="L35" i="10"/>
  <c r="I36" i="10"/>
  <c r="AI185" i="11" l="1"/>
  <c r="K35" i="10"/>
  <c r="AJ185" i="11"/>
  <c r="K36" i="10"/>
  <c r="R35" i="10" l="1"/>
  <c r="M35" i="10"/>
  <c r="R36" i="10"/>
  <c r="M36" i="10"/>
  <c r="AI152" i="11" l="1"/>
  <c r="AI67" i="11" s="1"/>
  <c r="AI68" i="11" s="1"/>
  <c r="AJ210" i="11"/>
  <c r="AJ219" i="11" s="1"/>
  <c r="AJ57" i="11" s="1"/>
  <c r="AJ59" i="11" s="1"/>
  <c r="AJ63" i="11" s="1"/>
  <c r="AJ64" i="11" s="1"/>
  <c r="AJ152" i="11"/>
  <c r="AJ67" i="11" s="1"/>
  <c r="AJ68" i="11" s="1"/>
  <c r="L36" i="10"/>
  <c r="AG152" i="11"/>
  <c r="AG67" i="11" s="1"/>
  <c r="AG68" i="11" s="1"/>
  <c r="AH152" i="11"/>
  <c r="AH67" i="11" s="1"/>
  <c r="AH68" i="11" s="1"/>
  <c r="L34" i="10"/>
  <c r="AE152" i="11"/>
  <c r="AE67" i="11" s="1"/>
  <c r="AE68" i="11" s="1"/>
  <c r="AF152" i="11"/>
  <c r="AF67" i="11" s="1"/>
  <c r="AF68" i="11" s="1"/>
  <c r="L32" i="10"/>
  <c r="AD152" i="11"/>
  <c r="AD67" i="11" s="1"/>
  <c r="AD68" i="11" s="1"/>
  <c r="L30" i="10"/>
  <c r="AB152" i="11"/>
  <c r="AB67" i="11" s="1"/>
  <c r="AB68" i="11" s="1"/>
  <c r="L28" i="10"/>
  <c r="AA152" i="11"/>
  <c r="AA67" i="11" s="1"/>
  <c r="L27" i="10"/>
  <c r="O36" i="10"/>
  <c r="O35" i="10"/>
  <c r="O33" i="10"/>
  <c r="O34" i="10"/>
  <c r="O32" i="10"/>
  <c r="O31" i="10"/>
  <c r="O29" i="10"/>
  <c r="O30" i="10"/>
  <c r="O28" i="10"/>
  <c r="O27" i="10"/>
  <c r="AA154" i="11"/>
  <c r="AE154" i="11" l="1"/>
  <c r="AH154" i="11"/>
  <c r="AD154" i="11"/>
  <c r="AG154" i="11"/>
  <c r="AJ154" i="11"/>
  <c r="AI154" i="11"/>
  <c r="AF154" i="11"/>
  <c r="AB154" i="11"/>
  <c r="AF71" i="11"/>
  <c r="AF74" i="11" s="1"/>
  <c r="AF70" i="11"/>
  <c r="AF159" i="11"/>
  <c r="AJ70" i="11"/>
  <c r="AJ71" i="11"/>
  <c r="AJ74" i="11" s="1"/>
  <c r="AJ159" i="11"/>
  <c r="AI70" i="11"/>
  <c r="AI71" i="11"/>
  <c r="AI74" i="11" s="1"/>
  <c r="AI159" i="11"/>
  <c r="AB71" i="11"/>
  <c r="AB74" i="11" s="1"/>
  <c r="AB70" i="11"/>
  <c r="AB159" i="11"/>
  <c r="AD70" i="11"/>
  <c r="AD71" i="11"/>
  <c r="AD74" i="11" s="1"/>
  <c r="AD159" i="11"/>
  <c r="AE71" i="11"/>
  <c r="AE74" i="11" s="1"/>
  <c r="AE159" i="11"/>
  <c r="AE70" i="11"/>
  <c r="AH70" i="11"/>
  <c r="AH159" i="11"/>
  <c r="AH71" i="11"/>
  <c r="AH74" i="11" s="1"/>
  <c r="AG70" i="11"/>
  <c r="AG159" i="11"/>
  <c r="AG71" i="11"/>
  <c r="AG74" i="11" s="1"/>
  <c r="AE73" i="11" l="1"/>
  <c r="AE77" i="11" s="1"/>
  <c r="AD73" i="11"/>
  <c r="AD77" i="11" s="1"/>
  <c r="AB73" i="11"/>
  <c r="AB77" i="11" s="1"/>
  <c r="AJ73" i="11"/>
  <c r="AJ77" i="11" s="1"/>
  <c r="AF73" i="11"/>
  <c r="AF77" i="11" s="1"/>
  <c r="AH171" i="11"/>
  <c r="AH164" i="11"/>
  <c r="AH172" i="11"/>
  <c r="AH163" i="11"/>
  <c r="AB164" i="11"/>
  <c r="AB171" i="11"/>
  <c r="AB163" i="11"/>
  <c r="AB172" i="11"/>
  <c r="AI171" i="11"/>
  <c r="AI163" i="11"/>
  <c r="AI172" i="11"/>
  <c r="AI164" i="11"/>
  <c r="AF164" i="11"/>
  <c r="AF171" i="11"/>
  <c r="AF163" i="11"/>
  <c r="AF172" i="11"/>
  <c r="AG73" i="11"/>
  <c r="AG77" i="11" s="1"/>
  <c r="AI73" i="11"/>
  <c r="AI77" i="11" s="1"/>
  <c r="AG172" i="11"/>
  <c r="AG164" i="11"/>
  <c r="AG171" i="11"/>
  <c r="AG163" i="11"/>
  <c r="AE172" i="11"/>
  <c r="AE164" i="11"/>
  <c r="AE171" i="11"/>
  <c r="AE163" i="11"/>
  <c r="AD172" i="11"/>
  <c r="AD163" i="11"/>
  <c r="AD171" i="11"/>
  <c r="AD164" i="11"/>
  <c r="AJ172" i="11"/>
  <c r="AJ163" i="11"/>
  <c r="AJ171" i="11"/>
  <c r="AJ164" i="11"/>
  <c r="AH73" i="11"/>
  <c r="AH77" i="11" s="1"/>
  <c r="AE167" i="11" l="1"/>
  <c r="AB167" i="11"/>
  <c r="AJ175" i="11"/>
  <c r="AG167" i="11"/>
  <c r="AD175" i="11"/>
  <c r="AH175" i="11"/>
  <c r="AF167" i="11"/>
  <c r="AI175" i="11"/>
  <c r="AE175" i="11"/>
  <c r="AG175" i="11"/>
  <c r="AH167" i="11"/>
  <c r="AD167" i="11"/>
  <c r="AI167" i="11"/>
  <c r="AJ167" i="11"/>
  <c r="AB175" i="11"/>
  <c r="AF175" i="11"/>
  <c r="T97" i="11" l="1"/>
  <c r="T56" i="11" s="1"/>
  <c r="U97" i="11"/>
  <c r="U96" i="11"/>
  <c r="T102" i="11" l="1"/>
  <c r="U56" i="11"/>
  <c r="U102" i="11"/>
  <c r="U53" i="11"/>
  <c r="U95" i="11"/>
  <c r="F21" i="10" s="1"/>
  <c r="V209" i="11" l="1"/>
  <c r="V219" i="11" s="1"/>
  <c r="V57" i="11" s="1"/>
  <c r="G22" i="10" s="1"/>
  <c r="T96" i="11" l="1"/>
  <c r="T53" i="11" l="1"/>
  <c r="T95" i="11"/>
  <c r="F20" i="10" s="1"/>
  <c r="T51" i="11" l="1"/>
  <c r="U51" i="11" l="1"/>
  <c r="P21" i="10" s="1"/>
  <c r="P20" i="10"/>
  <c r="D121" i="12" l="1"/>
  <c r="G29" i="7" l="1"/>
  <c r="G30" i="7" l="1"/>
  <c r="C113" i="11" s="1"/>
  <c r="C115" i="11" l="1"/>
  <c r="C114" i="11"/>
  <c r="C116" i="11"/>
  <c r="C109" i="11"/>
  <c r="G193" i="11" s="1"/>
  <c r="G196" i="11" s="1"/>
  <c r="G76" i="11" s="1"/>
  <c r="C111" i="11"/>
  <c r="C112" i="11"/>
  <c r="C110" i="11"/>
  <c r="F90" i="11"/>
  <c r="F92" i="11" s="1"/>
  <c r="F62" i="11" s="1"/>
  <c r="G41" i="7"/>
  <c r="C118" i="11"/>
  <c r="G180" i="11"/>
  <c r="O180" i="11"/>
  <c r="O182" i="11" s="1"/>
  <c r="O75" i="11" s="1"/>
  <c r="L180" i="11"/>
  <c r="L182" i="11" s="1"/>
  <c r="L75" i="11" s="1"/>
  <c r="K180" i="11"/>
  <c r="K182" i="11" s="1"/>
  <c r="K75" i="11" s="1"/>
  <c r="H180" i="11"/>
  <c r="H182" i="11" s="1"/>
  <c r="H75" i="11" s="1"/>
  <c r="G31" i="7"/>
  <c r="M180" i="11"/>
  <c r="M182" i="11" s="1"/>
  <c r="M75" i="11" s="1"/>
  <c r="J180" i="11"/>
  <c r="J182" i="11" s="1"/>
  <c r="J75" i="11" s="1"/>
  <c r="D29" i="9"/>
  <c r="D30" i="9" s="1"/>
  <c r="P180" i="11"/>
  <c r="P182" i="11" s="1"/>
  <c r="P75" i="11" s="1"/>
  <c r="I180" i="11"/>
  <c r="I182" i="11" s="1"/>
  <c r="I75" i="11" s="1"/>
  <c r="N180" i="11"/>
  <c r="N182" i="11" s="1"/>
  <c r="N75" i="11" s="1"/>
  <c r="Q42" i="7" l="1"/>
  <c r="Q28" i="7"/>
  <c r="G179" i="11" s="1"/>
  <c r="G182" i="11" s="1"/>
  <c r="G75" i="11" s="1"/>
  <c r="C120" i="11"/>
  <c r="D113" i="11" s="1"/>
  <c r="M97" i="11"/>
  <c r="R96" i="11"/>
  <c r="N96" i="11"/>
  <c r="I97" i="11"/>
  <c r="G73" i="7"/>
  <c r="P96" i="11"/>
  <c r="R97" i="11"/>
  <c r="H96" i="11"/>
  <c r="S96" i="11"/>
  <c r="H97" i="11"/>
  <c r="L97" i="11"/>
  <c r="K97" i="11"/>
  <c r="O97" i="11"/>
  <c r="M96" i="11"/>
  <c r="J96" i="11"/>
  <c r="P97" i="11"/>
  <c r="F101" i="11"/>
  <c r="F103" i="11" s="1"/>
  <c r="G100" i="11" s="1"/>
  <c r="L96" i="11"/>
  <c r="G97" i="11"/>
  <c r="I96" i="11"/>
  <c r="Q97" i="11"/>
  <c r="G96" i="11"/>
  <c r="J97" i="11"/>
  <c r="N97" i="11"/>
  <c r="S97" i="11"/>
  <c r="O96" i="11"/>
  <c r="Q96" i="11"/>
  <c r="K96" i="11"/>
  <c r="G39" i="11"/>
  <c r="G45" i="11" s="1"/>
  <c r="Y39" i="11"/>
  <c r="Y45" i="11" s="1"/>
  <c r="W39" i="11"/>
  <c r="W45" i="11" s="1"/>
  <c r="U39" i="11"/>
  <c r="U45" i="11" s="1"/>
  <c r="K39" i="11"/>
  <c r="K45" i="11" s="1"/>
  <c r="P39" i="11"/>
  <c r="P45" i="11" s="1"/>
  <c r="V39" i="11"/>
  <c r="V45" i="11" s="1"/>
  <c r="M39" i="11"/>
  <c r="M45" i="11" s="1"/>
  <c r="J39" i="11"/>
  <c r="J45" i="11" s="1"/>
  <c r="X39" i="11"/>
  <c r="X45" i="11" s="1"/>
  <c r="I39" i="11"/>
  <c r="I45" i="11" s="1"/>
  <c r="Q39" i="11"/>
  <c r="Q45" i="11" s="1"/>
  <c r="O39" i="11"/>
  <c r="O45" i="11" s="1"/>
  <c r="L39" i="11"/>
  <c r="L45" i="11" s="1"/>
  <c r="S39" i="11"/>
  <c r="S45" i="11" s="1"/>
  <c r="R39" i="11"/>
  <c r="R45" i="11" s="1"/>
  <c r="N39" i="11"/>
  <c r="N45" i="11" s="1"/>
  <c r="T39" i="11"/>
  <c r="T45" i="11" s="1"/>
  <c r="H39" i="11"/>
  <c r="H45" i="11" s="1"/>
  <c r="Z39" i="11"/>
  <c r="Z45" i="11" s="1"/>
  <c r="G74" i="7"/>
  <c r="F64" i="11"/>
  <c r="F77" i="11" s="1"/>
  <c r="M6" i="10" s="1"/>
  <c r="N6" i="10" s="1"/>
  <c r="D109" i="11" l="1"/>
  <c r="C122" i="11"/>
  <c r="E113" i="11" s="1"/>
  <c r="D115" i="11"/>
  <c r="D116" i="11"/>
  <c r="D114" i="11"/>
  <c r="D118" i="11"/>
  <c r="D110" i="11"/>
  <c r="D111" i="11"/>
  <c r="C121" i="11"/>
  <c r="D112" i="11"/>
  <c r="E26" i="10"/>
  <c r="Z47" i="11"/>
  <c r="Z46" i="11"/>
  <c r="H47" i="11"/>
  <c r="H46" i="11"/>
  <c r="E8" i="10"/>
  <c r="N46" i="11"/>
  <c r="N47" i="11"/>
  <c r="E14" i="10"/>
  <c r="E19" i="10"/>
  <c r="S46" i="11"/>
  <c r="S47" i="11"/>
  <c r="E15" i="10"/>
  <c r="O47" i="11"/>
  <c r="O46" i="11"/>
  <c r="I46" i="11"/>
  <c r="E9" i="10"/>
  <c r="I47" i="11"/>
  <c r="J47" i="11"/>
  <c r="J46" i="11"/>
  <c r="E10" i="10"/>
  <c r="E22" i="10"/>
  <c r="S22" i="10" s="1"/>
  <c r="V47" i="11"/>
  <c r="V46" i="11"/>
  <c r="E11" i="10"/>
  <c r="K46" i="11"/>
  <c r="K47" i="11"/>
  <c r="W47" i="11"/>
  <c r="W46" i="11"/>
  <c r="E23" i="10"/>
  <c r="S23" i="10" s="1"/>
  <c r="E7" i="10"/>
  <c r="G47" i="11"/>
  <c r="D38" i="9" s="1"/>
  <c r="G46" i="11"/>
  <c r="Q53" i="11"/>
  <c r="Q95" i="11"/>
  <c r="F17" i="10" s="1"/>
  <c r="S102" i="11"/>
  <c r="S56" i="11"/>
  <c r="J102" i="11"/>
  <c r="J56" i="11"/>
  <c r="Q102" i="11"/>
  <c r="Q56" i="11"/>
  <c r="G56" i="11"/>
  <c r="G102" i="11"/>
  <c r="G103" i="11" s="1"/>
  <c r="H100" i="11" s="1"/>
  <c r="J53" i="11"/>
  <c r="J95" i="11"/>
  <c r="F10" i="10" s="1"/>
  <c r="O102" i="11"/>
  <c r="O56" i="11"/>
  <c r="L102" i="11"/>
  <c r="L56" i="11"/>
  <c r="S53" i="11"/>
  <c r="S95" i="11"/>
  <c r="F19" i="10" s="1"/>
  <c r="R102" i="11"/>
  <c r="R56" i="11"/>
  <c r="N95" i="11"/>
  <c r="F14" i="10" s="1"/>
  <c r="N53" i="11"/>
  <c r="M102" i="11"/>
  <c r="M56" i="11"/>
  <c r="E20" i="10"/>
  <c r="T46" i="11"/>
  <c r="T47" i="11"/>
  <c r="R47" i="11"/>
  <c r="R46" i="11"/>
  <c r="E18" i="10"/>
  <c r="L47" i="11"/>
  <c r="E12" i="10"/>
  <c r="L46" i="11"/>
  <c r="Q46" i="11"/>
  <c r="E17" i="10"/>
  <c r="Q47" i="11"/>
  <c r="X47" i="11"/>
  <c r="E24" i="10"/>
  <c r="S24" i="10" s="1"/>
  <c r="X46" i="11"/>
  <c r="M46" i="11"/>
  <c r="E13" i="10"/>
  <c r="M47" i="11"/>
  <c r="P46" i="11"/>
  <c r="P47" i="11"/>
  <c r="E16" i="10"/>
  <c r="U46" i="11"/>
  <c r="U47" i="11"/>
  <c r="E21" i="10"/>
  <c r="S21" i="10" s="1"/>
  <c r="Y46" i="11"/>
  <c r="Y47" i="11"/>
  <c r="E25" i="10"/>
  <c r="S25" i="10" s="1"/>
  <c r="K53" i="11"/>
  <c r="K95" i="11"/>
  <c r="F11" i="10" s="1"/>
  <c r="O53" i="11"/>
  <c r="O95" i="11"/>
  <c r="F15" i="10" s="1"/>
  <c r="N56" i="11"/>
  <c r="N102" i="11"/>
  <c r="G53" i="11"/>
  <c r="G95" i="11"/>
  <c r="I53" i="11"/>
  <c r="I95" i="11"/>
  <c r="F9" i="10" s="1"/>
  <c r="L95" i="11"/>
  <c r="F12" i="10" s="1"/>
  <c r="L53" i="11"/>
  <c r="P56" i="11"/>
  <c r="P102" i="11"/>
  <c r="M53" i="11"/>
  <c r="M95" i="11"/>
  <c r="F13" i="10" s="1"/>
  <c r="K56" i="11"/>
  <c r="K102" i="11"/>
  <c r="H102" i="11"/>
  <c r="H56" i="11"/>
  <c r="H53" i="11"/>
  <c r="H95" i="11"/>
  <c r="F8" i="10" s="1"/>
  <c r="S8" i="10" s="1"/>
  <c r="P53" i="11"/>
  <c r="P95" i="11"/>
  <c r="F16" i="10" s="1"/>
  <c r="I56" i="11"/>
  <c r="I102" i="11"/>
  <c r="R53" i="11"/>
  <c r="R95" i="11"/>
  <c r="F18" i="10" s="1"/>
  <c r="G76" i="7"/>
  <c r="E109" i="11" l="1"/>
  <c r="M126" i="11" s="1"/>
  <c r="E118" i="11"/>
  <c r="E135" i="11" s="1"/>
  <c r="K130" i="11"/>
  <c r="AD130" i="11"/>
  <c r="AE130" i="11"/>
  <c r="O130" i="11"/>
  <c r="R130" i="11"/>
  <c r="E110" i="11"/>
  <c r="M127" i="11" s="1"/>
  <c r="E117" i="11"/>
  <c r="G134" i="11" s="1"/>
  <c r="E115" i="11"/>
  <c r="K132" i="11" s="1"/>
  <c r="E114" i="11"/>
  <c r="X131" i="11" s="1"/>
  <c r="E112" i="11"/>
  <c r="L129" i="11" s="1"/>
  <c r="E111" i="11"/>
  <c r="H128" i="11" s="1"/>
  <c r="E116" i="11"/>
  <c r="AI133" i="11" s="1"/>
  <c r="S12" i="10"/>
  <c r="H129" i="11"/>
  <c r="D120" i="11"/>
  <c r="D121" i="11" s="1"/>
  <c r="AI130" i="11"/>
  <c r="H130" i="11"/>
  <c r="W130" i="11"/>
  <c r="S130" i="11"/>
  <c r="AB130" i="11"/>
  <c r="Z130" i="11"/>
  <c r="AJ130" i="11"/>
  <c r="AG130" i="11"/>
  <c r="T130" i="11"/>
  <c r="V130" i="11"/>
  <c r="J130" i="11"/>
  <c r="AC130" i="11"/>
  <c r="AF130" i="11"/>
  <c r="X130" i="11"/>
  <c r="G130" i="11"/>
  <c r="N130" i="11"/>
  <c r="AA130" i="11"/>
  <c r="Y130" i="11"/>
  <c r="M130" i="11"/>
  <c r="AH130" i="11"/>
  <c r="I130" i="11"/>
  <c r="L130" i="11"/>
  <c r="Q130" i="11"/>
  <c r="P130" i="11"/>
  <c r="U130" i="11"/>
  <c r="S17" i="10"/>
  <c r="S14" i="10"/>
  <c r="S18" i="10"/>
  <c r="H103" i="11"/>
  <c r="I100" i="11" s="1"/>
  <c r="I103" i="11" s="1"/>
  <c r="J100" i="11" s="1"/>
  <c r="J103" i="11" s="1"/>
  <c r="K100" i="11" s="1"/>
  <c r="K103" i="11" s="1"/>
  <c r="L100" i="11" s="1"/>
  <c r="L103" i="11" s="1"/>
  <c r="M100" i="11" s="1"/>
  <c r="M103" i="11" s="1"/>
  <c r="N100" i="11" s="1"/>
  <c r="N103" i="11" s="1"/>
  <c r="O100" i="11" s="1"/>
  <c r="O103" i="11" s="1"/>
  <c r="P100" i="11" s="1"/>
  <c r="P103" i="11" s="1"/>
  <c r="Q100" i="11" s="1"/>
  <c r="Q103" i="11" s="1"/>
  <c r="R100" i="11" s="1"/>
  <c r="R103" i="11" s="1"/>
  <c r="S100" i="11" s="1"/>
  <c r="S103" i="11" s="1"/>
  <c r="T100" i="11" s="1"/>
  <c r="T103" i="11" s="1"/>
  <c r="U100" i="11" s="1"/>
  <c r="U103" i="11" s="1"/>
  <c r="V100" i="11" s="1"/>
  <c r="V103" i="11" s="1"/>
  <c r="W100" i="11" s="1"/>
  <c r="W103" i="11" s="1"/>
  <c r="X100" i="11" s="1"/>
  <c r="X103" i="11" s="1"/>
  <c r="Y100" i="11" s="1"/>
  <c r="Y103" i="11" s="1"/>
  <c r="Z100" i="11" s="1"/>
  <c r="Z103" i="11" s="1"/>
  <c r="AA100" i="11" s="1"/>
  <c r="AA103" i="11" s="1"/>
  <c r="AB100" i="11" s="1"/>
  <c r="AB103" i="11" s="1"/>
  <c r="AC100" i="11" s="1"/>
  <c r="AC103" i="11" s="1"/>
  <c r="AD100" i="11" s="1"/>
  <c r="AD103" i="11" s="1"/>
  <c r="AE100" i="11" s="1"/>
  <c r="AE103" i="11" s="1"/>
  <c r="AF100" i="11" s="1"/>
  <c r="AF103" i="11" s="1"/>
  <c r="AG100" i="11" s="1"/>
  <c r="AG103" i="11" s="1"/>
  <c r="AH100" i="11" s="1"/>
  <c r="AH103" i="11" s="1"/>
  <c r="AI100" i="11" s="1"/>
  <c r="AI103" i="11" s="1"/>
  <c r="AJ100" i="11" s="1"/>
  <c r="AJ103" i="11" s="1"/>
  <c r="Q76" i="7"/>
  <c r="F210" i="11" s="1"/>
  <c r="Z210" i="11" s="1"/>
  <c r="Z219" i="11" s="1"/>
  <c r="Z57" i="11" s="1"/>
  <c r="G26" i="10" s="1"/>
  <c r="S26" i="10" s="1"/>
  <c r="S11" i="10"/>
  <c r="S10" i="10"/>
  <c r="S9" i="10"/>
  <c r="S15" i="10"/>
  <c r="F7" i="10"/>
  <c r="S7" i="10" s="1"/>
  <c r="Q73" i="7"/>
  <c r="S16" i="10"/>
  <c r="S13" i="10"/>
  <c r="S19" i="10"/>
  <c r="F73" i="7"/>
  <c r="F75" i="7"/>
  <c r="F74" i="7"/>
  <c r="I127" i="11" l="1"/>
  <c r="K127" i="11"/>
  <c r="X127" i="11"/>
  <c r="AB127" i="11"/>
  <c r="AJ127" i="11"/>
  <c r="AI127" i="11"/>
  <c r="AC127" i="11"/>
  <c r="Q127" i="11"/>
  <c r="J127" i="11"/>
  <c r="R127" i="11"/>
  <c r="R129" i="11"/>
  <c r="Y129" i="11"/>
  <c r="H127" i="11"/>
  <c r="N127" i="11"/>
  <c r="P127" i="11"/>
  <c r="S127" i="11"/>
  <c r="AF127" i="11"/>
  <c r="O129" i="11"/>
  <c r="O127" i="11"/>
  <c r="AA127" i="11"/>
  <c r="Y127" i="11"/>
  <c r="Z127" i="11"/>
  <c r="AG127" i="11"/>
  <c r="U127" i="11"/>
  <c r="AI129" i="11"/>
  <c r="G129" i="11"/>
  <c r="AD126" i="11"/>
  <c r="AA134" i="11"/>
  <c r="AF129" i="11"/>
  <c r="Q129" i="11"/>
  <c r="S129" i="11"/>
  <c r="U129" i="11"/>
  <c r="AA129" i="11"/>
  <c r="AE127" i="11"/>
  <c r="G127" i="11"/>
  <c r="AH127" i="11"/>
  <c r="T127" i="11"/>
  <c r="V127" i="11"/>
  <c r="W127" i="11"/>
  <c r="L127" i="11"/>
  <c r="AD127" i="11"/>
  <c r="AG129" i="11"/>
  <c r="W129" i="11"/>
  <c r="J129" i="11"/>
  <c r="N129" i="11"/>
  <c r="I129" i="11"/>
  <c r="AB129" i="11"/>
  <c r="AD129" i="11"/>
  <c r="T129" i="11"/>
  <c r="K129" i="11"/>
  <c r="AC129" i="11"/>
  <c r="Y131" i="11"/>
  <c r="K131" i="11"/>
  <c r="AI131" i="11"/>
  <c r="W131" i="11"/>
  <c r="AD131" i="11"/>
  <c r="AG131" i="11"/>
  <c r="AB131" i="11"/>
  <c r="G131" i="11"/>
  <c r="AJ131" i="11"/>
  <c r="S131" i="11"/>
  <c r="N131" i="11"/>
  <c r="R133" i="11"/>
  <c r="AF126" i="11"/>
  <c r="N126" i="11"/>
  <c r="Z126" i="11"/>
  <c r="M128" i="11"/>
  <c r="M133" i="11"/>
  <c r="AE132" i="11"/>
  <c r="AC133" i="11"/>
  <c r="AD133" i="11"/>
  <c r="R126" i="11"/>
  <c r="H126" i="11"/>
  <c r="AG132" i="11"/>
  <c r="M129" i="11"/>
  <c r="X129" i="11"/>
  <c r="Z129" i="11"/>
  <c r="AH129" i="11"/>
  <c r="AE129" i="11"/>
  <c r="P129" i="11"/>
  <c r="X132" i="11"/>
  <c r="W132" i="11"/>
  <c r="Y132" i="11"/>
  <c r="AA133" i="11"/>
  <c r="AD132" i="11"/>
  <c r="H133" i="11"/>
  <c r="AH132" i="11"/>
  <c r="V129" i="11"/>
  <c r="S126" i="11"/>
  <c r="J126" i="11"/>
  <c r="AE128" i="11"/>
  <c r="N128" i="11"/>
  <c r="AJ134" i="11"/>
  <c r="P126" i="11"/>
  <c r="U126" i="11"/>
  <c r="X128" i="11"/>
  <c r="S128" i="11"/>
  <c r="K128" i="11"/>
  <c r="Q134" i="11"/>
  <c r="H134" i="11"/>
  <c r="V134" i="11"/>
  <c r="P134" i="11"/>
  <c r="J134" i="11"/>
  <c r="AJ126" i="11"/>
  <c r="Y126" i="11"/>
  <c r="K126" i="11"/>
  <c r="X126" i="11"/>
  <c r="V126" i="11"/>
  <c r="AC126" i="11"/>
  <c r="AE126" i="11"/>
  <c r="I126" i="11"/>
  <c r="P128" i="11"/>
  <c r="L128" i="11"/>
  <c r="Q128" i="11"/>
  <c r="U128" i="11"/>
  <c r="AD128" i="11"/>
  <c r="AI128" i="11"/>
  <c r="T128" i="11"/>
  <c r="Z134" i="11"/>
  <c r="I134" i="11"/>
  <c r="AG134" i="11"/>
  <c r="T134" i="11"/>
  <c r="U134" i="11"/>
  <c r="Y134" i="11"/>
  <c r="O134" i="11"/>
  <c r="AI126" i="11"/>
  <c r="O126" i="11"/>
  <c r="AJ128" i="11"/>
  <c r="AB128" i="11"/>
  <c r="Y128" i="11"/>
  <c r="AC128" i="11"/>
  <c r="AG128" i="11"/>
  <c r="Z128" i="11"/>
  <c r="AA128" i="11"/>
  <c r="AF134" i="11"/>
  <c r="AD134" i="11"/>
  <c r="AH134" i="11"/>
  <c r="R134" i="11"/>
  <c r="L134" i="11"/>
  <c r="AI134" i="11"/>
  <c r="M134" i="11"/>
  <c r="AH126" i="11"/>
  <c r="AB126" i="11"/>
  <c r="AA126" i="11"/>
  <c r="W128" i="11"/>
  <c r="L126" i="11"/>
  <c r="T126" i="11"/>
  <c r="Q126" i="11"/>
  <c r="W126" i="11"/>
  <c r="AG126" i="11"/>
  <c r="G126" i="11"/>
  <c r="AH128" i="11"/>
  <c r="R128" i="11"/>
  <c r="G128" i="11"/>
  <c r="J128" i="11"/>
  <c r="V128" i="11"/>
  <c r="AF128" i="11"/>
  <c r="I128" i="11"/>
  <c r="O128" i="11"/>
  <c r="W134" i="11"/>
  <c r="N134" i="11"/>
  <c r="AC134" i="11"/>
  <c r="AE134" i="11"/>
  <c r="X134" i="11"/>
  <c r="AB134" i="11"/>
  <c r="S134" i="11"/>
  <c r="K134" i="11"/>
  <c r="AC132" i="11"/>
  <c r="W133" i="11"/>
  <c r="J133" i="11"/>
  <c r="X133" i="11"/>
  <c r="AJ133" i="11"/>
  <c r="P132" i="11"/>
  <c r="U132" i="11"/>
  <c r="Z132" i="11"/>
  <c r="AE133" i="11"/>
  <c r="J132" i="11"/>
  <c r="T133" i="11"/>
  <c r="AF133" i="11"/>
  <c r="G133" i="11"/>
  <c r="K133" i="11"/>
  <c r="S133" i="11"/>
  <c r="AG133" i="11"/>
  <c r="AF132" i="11"/>
  <c r="R132" i="11"/>
  <c r="L132" i="11"/>
  <c r="M132" i="11"/>
  <c r="O132" i="11"/>
  <c r="V132" i="11"/>
  <c r="P133" i="11"/>
  <c r="AI132" i="11"/>
  <c r="AB132" i="11"/>
  <c r="Q132" i="11"/>
  <c r="L133" i="11"/>
  <c r="E120" i="11"/>
  <c r="E121" i="11" s="1"/>
  <c r="AA132" i="11"/>
  <c r="AJ132" i="11"/>
  <c r="H132" i="11"/>
  <c r="Z133" i="11"/>
  <c r="N133" i="11"/>
  <c r="U133" i="11"/>
  <c r="I133" i="11"/>
  <c r="V133" i="11"/>
  <c r="AH133" i="11"/>
  <c r="O133" i="11"/>
  <c r="Q133" i="11"/>
  <c r="AB133" i="11"/>
  <c r="Y133" i="11"/>
  <c r="N132" i="11"/>
  <c r="S132" i="11"/>
  <c r="I132" i="11"/>
  <c r="T132" i="11"/>
  <c r="G132" i="11"/>
  <c r="AJ129" i="11"/>
  <c r="I131" i="11"/>
  <c r="AC131" i="11"/>
  <c r="M131" i="11"/>
  <c r="U131" i="11"/>
  <c r="V131" i="11"/>
  <c r="Q131" i="11"/>
  <c r="AA131" i="11"/>
  <c r="P131" i="11"/>
  <c r="H131" i="11"/>
  <c r="L131" i="11"/>
  <c r="J131" i="11"/>
  <c r="R131" i="11"/>
  <c r="AF131" i="11"/>
  <c r="Z131" i="11"/>
  <c r="O131" i="11"/>
  <c r="AH131" i="11"/>
  <c r="T131" i="11"/>
  <c r="AE131" i="11"/>
  <c r="E130" i="11"/>
  <c r="G28" i="7"/>
  <c r="C109" i="12"/>
  <c r="F209" i="11"/>
  <c r="G69" i="7"/>
  <c r="E127" i="11" l="1"/>
  <c r="J152" i="11"/>
  <c r="J154" i="11" s="1"/>
  <c r="U152" i="11"/>
  <c r="U67" i="11" s="1"/>
  <c r="K152" i="11"/>
  <c r="K154" i="11" s="1"/>
  <c r="Z152" i="11"/>
  <c r="Z67" i="11" s="1"/>
  <c r="L152" i="11"/>
  <c r="L154" i="11" s="1"/>
  <c r="R152" i="11"/>
  <c r="R154" i="11" s="1"/>
  <c r="V152" i="11"/>
  <c r="V67" i="11" s="1"/>
  <c r="M152" i="11"/>
  <c r="M154" i="11" s="1"/>
  <c r="E129" i="11"/>
  <c r="G152" i="11"/>
  <c r="G67" i="11" s="1"/>
  <c r="P152" i="11"/>
  <c r="P154" i="11" s="1"/>
  <c r="X152" i="11"/>
  <c r="X67" i="11" s="1"/>
  <c r="W152" i="11"/>
  <c r="W154" i="11" s="1"/>
  <c r="H152" i="11"/>
  <c r="H154" i="11" s="1"/>
  <c r="S152" i="11"/>
  <c r="S67" i="11" s="1"/>
  <c r="E126" i="11"/>
  <c r="Q152" i="11"/>
  <c r="Q67" i="11" s="1"/>
  <c r="T152" i="11"/>
  <c r="T67" i="11" s="1"/>
  <c r="Y152" i="11"/>
  <c r="Y67" i="11" s="1"/>
  <c r="N152" i="11"/>
  <c r="N67" i="11" s="1"/>
  <c r="E133" i="11"/>
  <c r="E134" i="11"/>
  <c r="E128" i="11"/>
  <c r="E132" i="11"/>
  <c r="O152" i="11"/>
  <c r="O67" i="11" s="1"/>
  <c r="I152" i="11"/>
  <c r="I154" i="11" s="1"/>
  <c r="E131" i="11"/>
  <c r="T209" i="11"/>
  <c r="T219" i="11" s="1"/>
  <c r="T57" i="11" s="1"/>
  <c r="G20" i="10" s="1"/>
  <c r="S20" i="10" s="1"/>
  <c r="F216" i="11"/>
  <c r="G208" i="11" s="1"/>
  <c r="C110" i="12"/>
  <c r="C120" i="12" s="1"/>
  <c r="C121" i="12" s="1"/>
  <c r="N120" i="12"/>
  <c r="N121" i="12" s="1"/>
  <c r="G154" i="11" l="1"/>
  <c r="R67" i="11"/>
  <c r="J67" i="11"/>
  <c r="U154" i="11"/>
  <c r="H67" i="11"/>
  <c r="K67" i="11"/>
  <c r="D110" i="12"/>
  <c r="D120" i="12" s="1"/>
  <c r="W67" i="11"/>
  <c r="L67" i="11"/>
  <c r="M67" i="11"/>
  <c r="Z154" i="11"/>
  <c r="X154" i="11"/>
  <c r="V154" i="11"/>
  <c r="Y154" i="11"/>
  <c r="S154" i="11"/>
  <c r="P67" i="11"/>
  <c r="T154" i="11"/>
  <c r="I67" i="11"/>
  <c r="E136" i="11"/>
  <c r="F136" i="11" s="1"/>
  <c r="N154" i="11"/>
  <c r="Q154" i="11"/>
  <c r="O154" i="11"/>
  <c r="G216" i="11"/>
  <c r="H208" i="11" s="1"/>
  <c r="G218" i="11" l="1"/>
  <c r="G29" i="11" s="1"/>
  <c r="G31" i="11" s="1"/>
  <c r="G49" i="11" s="1"/>
  <c r="H216" i="11"/>
  <c r="I208" i="11" s="1"/>
  <c r="D7" i="10" l="1"/>
  <c r="H7" i="10" s="1"/>
  <c r="H218" i="11"/>
  <c r="H29" i="11" s="1"/>
  <c r="H31" i="11" s="1"/>
  <c r="H49" i="11" s="1"/>
  <c r="G54" i="11"/>
  <c r="G51" i="11"/>
  <c r="P7" i="10" s="1"/>
  <c r="I216" i="11"/>
  <c r="J208" i="11" s="1"/>
  <c r="D8" i="10" l="1"/>
  <c r="H8" i="10" s="1"/>
  <c r="I218" i="11"/>
  <c r="I29" i="11" s="1"/>
  <c r="I31" i="11" s="1"/>
  <c r="I49" i="11" s="1"/>
  <c r="J216" i="11"/>
  <c r="K208" i="11" s="1"/>
  <c r="G59" i="11"/>
  <c r="G63" i="11" s="1"/>
  <c r="G64" i="11" s="1"/>
  <c r="G68" i="11"/>
  <c r="H51" i="11"/>
  <c r="P8" i="10" s="1"/>
  <c r="H54" i="11"/>
  <c r="J218" i="11" l="1"/>
  <c r="J29" i="11" s="1"/>
  <c r="J31" i="11" s="1"/>
  <c r="D10" i="10" s="1"/>
  <c r="H10" i="10" s="1"/>
  <c r="D9" i="10"/>
  <c r="H9" i="10" s="1"/>
  <c r="G65" i="11"/>
  <c r="K216" i="11"/>
  <c r="L208" i="11" s="1"/>
  <c r="I54" i="11"/>
  <c r="I51" i="11"/>
  <c r="P9" i="10" s="1"/>
  <c r="H68" i="11"/>
  <c r="H59" i="11"/>
  <c r="H63" i="11" s="1"/>
  <c r="H64" i="11" s="1"/>
  <c r="G159" i="11"/>
  <c r="G71" i="11"/>
  <c r="G70" i="11"/>
  <c r="J49" i="11" l="1"/>
  <c r="J51" i="11" s="1"/>
  <c r="P10" i="10" s="1"/>
  <c r="K218" i="11"/>
  <c r="K29" i="11" s="1"/>
  <c r="K31" i="11" s="1"/>
  <c r="K49" i="11" s="1"/>
  <c r="J7" i="10"/>
  <c r="G74" i="11"/>
  <c r="L7" i="10" s="1"/>
  <c r="H65" i="11"/>
  <c r="I7" i="10"/>
  <c r="G163" i="11"/>
  <c r="G164" i="11"/>
  <c r="G172" i="11"/>
  <c r="G171" i="11"/>
  <c r="H71" i="11"/>
  <c r="H70" i="11"/>
  <c r="H159" i="11"/>
  <c r="I68" i="11"/>
  <c r="I59" i="11"/>
  <c r="I63" i="11" s="1"/>
  <c r="I64" i="11" s="1"/>
  <c r="I65" i="11" s="1"/>
  <c r="L216" i="11"/>
  <c r="M208" i="11" s="1"/>
  <c r="J54" i="11" l="1"/>
  <c r="J68" i="11" s="1"/>
  <c r="D11" i="10"/>
  <c r="H11" i="10" s="1"/>
  <c r="G73" i="11"/>
  <c r="K7" i="10" s="1"/>
  <c r="G175" i="11"/>
  <c r="L218" i="11"/>
  <c r="L29" i="11" s="1"/>
  <c r="L31" i="11" s="1"/>
  <c r="L49" i="11" s="1"/>
  <c r="G165" i="11"/>
  <c r="H162" i="11" s="1"/>
  <c r="H74" i="11"/>
  <c r="L8" i="10" s="1"/>
  <c r="J8" i="10"/>
  <c r="H172" i="11"/>
  <c r="H163" i="11"/>
  <c r="H164" i="11"/>
  <c r="H171" i="11"/>
  <c r="M216" i="11"/>
  <c r="N208" i="11" s="1"/>
  <c r="I71" i="11"/>
  <c r="I159" i="11"/>
  <c r="I70" i="11"/>
  <c r="I8" i="10"/>
  <c r="K54" i="11"/>
  <c r="K51" i="11"/>
  <c r="P11" i="10" s="1"/>
  <c r="G167" i="11"/>
  <c r="G173" i="11"/>
  <c r="H170" i="11" s="1"/>
  <c r="J59" i="11" l="1"/>
  <c r="J63" i="11" s="1"/>
  <c r="J64" i="11" s="1"/>
  <c r="J65" i="11" s="1"/>
  <c r="G77" i="11"/>
  <c r="G78" i="11" s="1"/>
  <c r="O7" i="10" s="1"/>
  <c r="D12" i="10"/>
  <c r="H12" i="10" s="1"/>
  <c r="H173" i="11"/>
  <c r="I170" i="11" s="1"/>
  <c r="H73" i="11"/>
  <c r="K8" i="10" s="1"/>
  <c r="H175" i="11"/>
  <c r="H165" i="11"/>
  <c r="I162" i="11" s="1"/>
  <c r="M218" i="11"/>
  <c r="M29" i="11" s="1"/>
  <c r="M31" i="11" s="1"/>
  <c r="D13" i="10" s="1"/>
  <c r="H13" i="10" s="1"/>
  <c r="H167" i="11"/>
  <c r="J159" i="11"/>
  <c r="J71" i="11"/>
  <c r="J70" i="11"/>
  <c r="I9" i="10"/>
  <c r="I74" i="11"/>
  <c r="L9" i="10" s="1"/>
  <c r="J9" i="10"/>
  <c r="N216" i="11"/>
  <c r="O208" i="11" s="1"/>
  <c r="K59" i="11"/>
  <c r="K63" i="11" s="1"/>
  <c r="K64" i="11" s="1"/>
  <c r="K68" i="11"/>
  <c r="R7" i="10"/>
  <c r="M7" i="10"/>
  <c r="N7" i="10" s="1"/>
  <c r="I164" i="11"/>
  <c r="I163" i="11"/>
  <c r="I172" i="11"/>
  <c r="I171" i="11"/>
  <c r="L51" i="11"/>
  <c r="P12" i="10" s="1"/>
  <c r="L54" i="11"/>
  <c r="H77" i="11" l="1"/>
  <c r="H78" i="11" s="1"/>
  <c r="O8" i="10" s="1"/>
  <c r="M49" i="11"/>
  <c r="M51" i="11" s="1"/>
  <c r="P13" i="10" s="1"/>
  <c r="I173" i="11"/>
  <c r="J170" i="11" s="1"/>
  <c r="I165" i="11"/>
  <c r="J162" i="11" s="1"/>
  <c r="K65" i="11"/>
  <c r="J10" i="10"/>
  <c r="J74" i="11"/>
  <c r="L10" i="10" s="1"/>
  <c r="I175" i="11"/>
  <c r="I167" i="11"/>
  <c r="N218" i="11"/>
  <c r="N29" i="11" s="1"/>
  <c r="N31" i="11" s="1"/>
  <c r="I73" i="11"/>
  <c r="L68" i="11"/>
  <c r="L59" i="11"/>
  <c r="L63" i="11" s="1"/>
  <c r="L64" i="11" s="1"/>
  <c r="K71" i="11"/>
  <c r="K159" i="11"/>
  <c r="K70" i="11"/>
  <c r="O216" i="11"/>
  <c r="P208" i="11" s="1"/>
  <c r="M8" i="10"/>
  <c r="N8" i="10" s="1"/>
  <c r="R8" i="10"/>
  <c r="I10" i="10"/>
  <c r="J171" i="11"/>
  <c r="J163" i="11"/>
  <c r="J172" i="11"/>
  <c r="J73" i="11" l="1"/>
  <c r="K10" i="10" s="1"/>
  <c r="J175" i="11"/>
  <c r="J164" i="11"/>
  <c r="J167" i="11" s="1"/>
  <c r="M54" i="11"/>
  <c r="M59" i="11" s="1"/>
  <c r="M63" i="11" s="1"/>
  <c r="M64" i="11" s="1"/>
  <c r="M65" i="11" s="1"/>
  <c r="J173" i="11"/>
  <c r="K170" i="11" s="1"/>
  <c r="P216" i="11"/>
  <c r="Q208" i="11" s="1"/>
  <c r="K171" i="11"/>
  <c r="K163" i="11"/>
  <c r="L65" i="11"/>
  <c r="D14" i="10"/>
  <c r="H14" i="10" s="1"/>
  <c r="N49" i="11"/>
  <c r="I11" i="10"/>
  <c r="K74" i="11"/>
  <c r="L11" i="10" s="1"/>
  <c r="J11" i="10"/>
  <c r="L70" i="11"/>
  <c r="L71" i="11"/>
  <c r="L159" i="11"/>
  <c r="K9" i="10"/>
  <c r="I77" i="11"/>
  <c r="O218" i="11"/>
  <c r="O29" i="11" s="1"/>
  <c r="O31" i="11" s="1"/>
  <c r="J77" i="11" l="1"/>
  <c r="J78" i="11" s="1"/>
  <c r="O10" i="10" s="1"/>
  <c r="J165" i="11"/>
  <c r="K162" i="11" s="1"/>
  <c r="M68" i="11"/>
  <c r="M159" i="11" s="1"/>
  <c r="K172" i="11"/>
  <c r="K175" i="11" s="1"/>
  <c r="P218" i="11"/>
  <c r="P29" i="11" s="1"/>
  <c r="P31" i="11" s="1"/>
  <c r="D16" i="10" s="1"/>
  <c r="H16" i="10" s="1"/>
  <c r="I78" i="11"/>
  <c r="O9" i="10" s="1"/>
  <c r="L163" i="11"/>
  <c r="L171" i="11"/>
  <c r="I12" i="10"/>
  <c r="O49" i="11"/>
  <c r="D15" i="10"/>
  <c r="H15" i="10" s="1"/>
  <c r="R9" i="10"/>
  <c r="M9" i="10"/>
  <c r="N9" i="10" s="1"/>
  <c r="J12" i="10"/>
  <c r="L74" i="11"/>
  <c r="L12" i="10" s="1"/>
  <c r="N54" i="11"/>
  <c r="N51" i="11"/>
  <c r="P14" i="10" s="1"/>
  <c r="Q216" i="11"/>
  <c r="R208" i="11" s="1"/>
  <c r="K73" i="11"/>
  <c r="R10" i="10"/>
  <c r="M10" i="10"/>
  <c r="K173" i="11" l="1"/>
  <c r="L170" i="11" s="1"/>
  <c r="K164" i="11"/>
  <c r="K165" i="11" s="1"/>
  <c r="L162" i="11" s="1"/>
  <c r="M71" i="11"/>
  <c r="M74" i="11" s="1"/>
  <c r="L13" i="10" s="1"/>
  <c r="P49" i="11"/>
  <c r="P51" i="11" s="1"/>
  <c r="P16" i="10" s="1"/>
  <c r="M70" i="11"/>
  <c r="I13" i="10" s="1"/>
  <c r="N10" i="10"/>
  <c r="Q218" i="11"/>
  <c r="Q29" i="11" s="1"/>
  <c r="Q31" i="11" s="1"/>
  <c r="Q49" i="11" s="1"/>
  <c r="R216" i="11"/>
  <c r="S208" i="11" s="1"/>
  <c r="N68" i="11"/>
  <c r="N59" i="11"/>
  <c r="N63" i="11" s="1"/>
  <c r="N64" i="11" s="1"/>
  <c r="O51" i="11"/>
  <c r="P15" i="10" s="1"/>
  <c r="O54" i="11"/>
  <c r="K77" i="11"/>
  <c r="K11" i="10"/>
  <c r="M171" i="11"/>
  <c r="M163" i="11"/>
  <c r="L73" i="11"/>
  <c r="K167" i="11" l="1"/>
  <c r="P54" i="11"/>
  <c r="P68" i="11" s="1"/>
  <c r="L172" i="11"/>
  <c r="L173" i="11" s="1"/>
  <c r="M170" i="11" s="1"/>
  <c r="L164" i="11"/>
  <c r="L165" i="11" s="1"/>
  <c r="M172" i="11" s="1"/>
  <c r="M175" i="11" s="1"/>
  <c r="D17" i="10"/>
  <c r="H17" i="10" s="1"/>
  <c r="J13" i="10"/>
  <c r="M73" i="11"/>
  <c r="M77" i="11" s="1"/>
  <c r="K12" i="10"/>
  <c r="L77" i="11"/>
  <c r="L78" i="11" s="1"/>
  <c r="O12" i="10" s="1"/>
  <c r="K78" i="11"/>
  <c r="O11" i="10" s="1"/>
  <c r="O59" i="11"/>
  <c r="O63" i="11" s="1"/>
  <c r="O64" i="11" s="1"/>
  <c r="O65" i="11" s="1"/>
  <c r="O68" i="11"/>
  <c r="N65" i="11"/>
  <c r="Q54" i="11"/>
  <c r="Q51" i="11"/>
  <c r="R218" i="11"/>
  <c r="R29" i="11" s="1"/>
  <c r="R31" i="11" s="1"/>
  <c r="R11" i="10"/>
  <c r="M11" i="10"/>
  <c r="N11" i="10" s="1"/>
  <c r="N70" i="11"/>
  <c r="N159" i="11"/>
  <c r="N71" i="11"/>
  <c r="S216" i="11"/>
  <c r="T208" i="11" s="1"/>
  <c r="L175" i="11" l="1"/>
  <c r="P59" i="11"/>
  <c r="P63" i="11" s="1"/>
  <c r="P64" i="11" s="1"/>
  <c r="P65" i="11" s="1"/>
  <c r="M164" i="11"/>
  <c r="M167" i="11" s="1"/>
  <c r="L167" i="11"/>
  <c r="M162" i="11"/>
  <c r="M173" i="11"/>
  <c r="N170" i="11" s="1"/>
  <c r="K13" i="10"/>
  <c r="R13" i="10" s="1"/>
  <c r="S218" i="11"/>
  <c r="S29" i="11" s="1"/>
  <c r="S31" i="11" s="1"/>
  <c r="D19" i="10" s="1"/>
  <c r="H19" i="10" s="1"/>
  <c r="P159" i="11"/>
  <c r="P71" i="11"/>
  <c r="P70" i="11"/>
  <c r="N74" i="11"/>
  <c r="L14" i="10" s="1"/>
  <c r="J14" i="10"/>
  <c r="I14" i="10"/>
  <c r="R49" i="11"/>
  <c r="D18" i="10"/>
  <c r="H18" i="10" s="1"/>
  <c r="T216" i="11"/>
  <c r="U208" i="11" s="1"/>
  <c r="N171" i="11"/>
  <c r="N163" i="11"/>
  <c r="Q68" i="11"/>
  <c r="Q59" i="11"/>
  <c r="Q63" i="11" s="1"/>
  <c r="Q64" i="11" s="1"/>
  <c r="M12" i="10"/>
  <c r="N12" i="10" s="1"/>
  <c r="R12" i="10"/>
  <c r="M78" i="11"/>
  <c r="O13" i="10" s="1"/>
  <c r="P17" i="10"/>
  <c r="O159" i="11"/>
  <c r="O71" i="11"/>
  <c r="O70" i="11"/>
  <c r="M13" i="10" l="1"/>
  <c r="N13" i="10" s="1"/>
  <c r="M165" i="11"/>
  <c r="N162" i="11" s="1"/>
  <c r="S49" i="11"/>
  <c r="S54" i="11" s="1"/>
  <c r="T218" i="11"/>
  <c r="T29" i="11" s="1"/>
  <c r="T31" i="11" s="1"/>
  <c r="T49" i="11" s="1"/>
  <c r="T54" i="11" s="1"/>
  <c r="N73" i="11"/>
  <c r="N77" i="11" s="1"/>
  <c r="O74" i="11"/>
  <c r="L15" i="10" s="1"/>
  <c r="J15" i="10"/>
  <c r="I15" i="10"/>
  <c r="O171" i="11"/>
  <c r="O163" i="11"/>
  <c r="Q71" i="11"/>
  <c r="Q159" i="11"/>
  <c r="Q70" i="11"/>
  <c r="U216" i="11"/>
  <c r="V208" i="11" s="1"/>
  <c r="R51" i="11"/>
  <c r="R54" i="11"/>
  <c r="J16" i="10"/>
  <c r="P74" i="11"/>
  <c r="L16" i="10" s="1"/>
  <c r="Q65" i="11"/>
  <c r="I16" i="10"/>
  <c r="P163" i="11"/>
  <c r="P171" i="11"/>
  <c r="N172" i="11" l="1"/>
  <c r="N175" i="11" s="1"/>
  <c r="N164" i="11"/>
  <c r="N167" i="11" s="1"/>
  <c r="K14" i="10"/>
  <c r="M14" i="10" s="1"/>
  <c r="N14" i="10" s="1"/>
  <c r="S51" i="11"/>
  <c r="P19" i="10" s="1"/>
  <c r="D20" i="10"/>
  <c r="H20" i="10" s="1"/>
  <c r="P73" i="11"/>
  <c r="P77" i="11" s="1"/>
  <c r="O73" i="11"/>
  <c r="O77" i="11" s="1"/>
  <c r="O78" i="11" s="1"/>
  <c r="O15" i="10" s="1"/>
  <c r="P18" i="10"/>
  <c r="V216" i="11"/>
  <c r="W208" i="11" s="1"/>
  <c r="Q171" i="11"/>
  <c r="Q163" i="11"/>
  <c r="N78" i="11"/>
  <c r="O14" i="10" s="1"/>
  <c r="T59" i="11"/>
  <c r="T63" i="11" s="1"/>
  <c r="T64" i="11" s="1"/>
  <c r="T68" i="11"/>
  <c r="R59" i="11"/>
  <c r="R63" i="11" s="1"/>
  <c r="R64" i="11" s="1"/>
  <c r="R68" i="11"/>
  <c r="I17" i="10"/>
  <c r="J17" i="10"/>
  <c r="Q74" i="11"/>
  <c r="L17" i="10" s="1"/>
  <c r="S68" i="11"/>
  <c r="S59" i="11"/>
  <c r="S63" i="11" s="1"/>
  <c r="S64" i="11" s="1"/>
  <c r="U218" i="11"/>
  <c r="U29" i="11" s="1"/>
  <c r="U31" i="11" s="1"/>
  <c r="R14" i="10" l="1"/>
  <c r="N173" i="11"/>
  <c r="O170" i="11" s="1"/>
  <c r="N165" i="11"/>
  <c r="O172" i="11" s="1"/>
  <c r="K16" i="10"/>
  <c r="M16" i="10" s="1"/>
  <c r="E51" i="11"/>
  <c r="G65" i="7" s="1"/>
  <c r="G66" i="7" s="1"/>
  <c r="D11" i="9" s="1"/>
  <c r="F51" i="11"/>
  <c r="R52" i="11" s="1"/>
  <c r="K15" i="10"/>
  <c r="M15" i="10" s="1"/>
  <c r="N15" i="10" s="1"/>
  <c r="D21" i="10"/>
  <c r="H21" i="10" s="1"/>
  <c r="U49" i="11"/>
  <c r="U54" i="11" s="1"/>
  <c r="R71" i="11"/>
  <c r="R159" i="11"/>
  <c r="R70" i="11"/>
  <c r="T159" i="11"/>
  <c r="T70" i="11"/>
  <c r="T71" i="11"/>
  <c r="Q73" i="11"/>
  <c r="P78" i="11"/>
  <c r="O16" i="10" s="1"/>
  <c r="V218" i="11"/>
  <c r="V29" i="11" s="1"/>
  <c r="V31" i="11" s="1"/>
  <c r="S70" i="11"/>
  <c r="S71" i="11"/>
  <c r="S159" i="11"/>
  <c r="S65" i="11"/>
  <c r="R65" i="11"/>
  <c r="T65" i="11"/>
  <c r="W216" i="11"/>
  <c r="X208" i="11" s="1"/>
  <c r="O164" i="11" l="1"/>
  <c r="O167" i="11" s="1"/>
  <c r="R16" i="10"/>
  <c r="O162" i="11"/>
  <c r="O173" i="11"/>
  <c r="P170" i="11" s="1"/>
  <c r="O175" i="11"/>
  <c r="AG52" i="11"/>
  <c r="AD52" i="11"/>
  <c r="Q52" i="11"/>
  <c r="AI52" i="11"/>
  <c r="M52" i="11"/>
  <c r="O52" i="11"/>
  <c r="L52" i="11"/>
  <c r="J52" i="11"/>
  <c r="AA52" i="11"/>
  <c r="AJ52" i="11"/>
  <c r="Z52" i="11"/>
  <c r="H52" i="11"/>
  <c r="AC52" i="11"/>
  <c r="G52" i="11"/>
  <c r="K52" i="11"/>
  <c r="S52" i="11"/>
  <c r="T52" i="11"/>
  <c r="X52" i="11"/>
  <c r="I52" i="11"/>
  <c r="W52" i="11"/>
  <c r="N52" i="11"/>
  <c r="P52" i="11"/>
  <c r="AF52" i="11"/>
  <c r="AH52" i="11"/>
  <c r="U52" i="11"/>
  <c r="AB52" i="11"/>
  <c r="V52" i="11"/>
  <c r="G62" i="7"/>
  <c r="G63" i="7" s="1"/>
  <c r="D10" i="9" s="1"/>
  <c r="Y52" i="11"/>
  <c r="AE52" i="11"/>
  <c r="R15" i="10"/>
  <c r="X216" i="11"/>
  <c r="Y208" i="11" s="1"/>
  <c r="S74" i="11"/>
  <c r="L19" i="10" s="1"/>
  <c r="J19" i="10"/>
  <c r="V49" i="11"/>
  <c r="V54" i="11" s="1"/>
  <c r="D22" i="10"/>
  <c r="K17" i="10"/>
  <c r="Q77" i="11"/>
  <c r="I20" i="10"/>
  <c r="I18" i="10"/>
  <c r="R74" i="11"/>
  <c r="L18" i="10" s="1"/>
  <c r="J18" i="10"/>
  <c r="W218" i="11"/>
  <c r="W29" i="11" s="1"/>
  <c r="W31" i="11" s="1"/>
  <c r="S171" i="11"/>
  <c r="S163" i="11"/>
  <c r="I19" i="10"/>
  <c r="J20" i="10"/>
  <c r="T74" i="11"/>
  <c r="L20" i="10" s="1"/>
  <c r="T163" i="11"/>
  <c r="T171" i="11"/>
  <c r="R163" i="11"/>
  <c r="R171" i="11"/>
  <c r="U59" i="11"/>
  <c r="U63" i="11" s="1"/>
  <c r="U64" i="11" s="1"/>
  <c r="U68" i="11"/>
  <c r="N16" i="10"/>
  <c r="O165" i="11" l="1"/>
  <c r="P172" i="11" s="1"/>
  <c r="P175" i="11" s="1"/>
  <c r="F62" i="7"/>
  <c r="R73" i="11"/>
  <c r="R77" i="11" s="1"/>
  <c r="R78" i="11" s="1"/>
  <c r="O18" i="10" s="1"/>
  <c r="S73" i="11"/>
  <c r="S77" i="11" s="1"/>
  <c r="X218" i="11"/>
  <c r="X29" i="11" s="1"/>
  <c r="X31" i="11" s="1"/>
  <c r="D24" i="10" s="1"/>
  <c r="H24" i="10" s="1"/>
  <c r="U159" i="11"/>
  <c r="U70" i="11"/>
  <c r="U71" i="11"/>
  <c r="D23" i="10"/>
  <c r="W49" i="11"/>
  <c r="W54" i="11" s="1"/>
  <c r="M17" i="10"/>
  <c r="N17" i="10" s="1"/>
  <c r="R17" i="10"/>
  <c r="V68" i="11"/>
  <c r="V59" i="11"/>
  <c r="V63" i="11" s="1"/>
  <c r="V64" i="11" s="1"/>
  <c r="V65" i="11" s="1"/>
  <c r="Y216" i="11"/>
  <c r="Z208" i="11" s="1"/>
  <c r="U65" i="11"/>
  <c r="Q78" i="11"/>
  <c r="O17" i="10" s="1"/>
  <c r="H22" i="10"/>
  <c r="T73" i="11"/>
  <c r="P173" i="11" l="1"/>
  <c r="Q170" i="11" s="1"/>
  <c r="P164" i="11"/>
  <c r="P167" i="11" s="1"/>
  <c r="P162" i="11"/>
  <c r="K18" i="10"/>
  <c r="R18" i="10" s="1"/>
  <c r="K19" i="10"/>
  <c r="R19" i="10" s="1"/>
  <c r="X49" i="11"/>
  <c r="X54" i="11" s="1"/>
  <c r="X59" i="11" s="1"/>
  <c r="X63" i="11" s="1"/>
  <c r="X64" i="11" s="1"/>
  <c r="S78" i="11"/>
  <c r="O19" i="10" s="1"/>
  <c r="K20" i="10"/>
  <c r="T77" i="11"/>
  <c r="W68" i="11"/>
  <c r="W59" i="11"/>
  <c r="W63" i="11" s="1"/>
  <c r="W64" i="11" s="1"/>
  <c r="J21" i="10"/>
  <c r="U74" i="11"/>
  <c r="L21" i="10" s="1"/>
  <c r="U171" i="11"/>
  <c r="U163" i="11"/>
  <c r="Y218" i="11"/>
  <c r="Y29" i="11" s="1"/>
  <c r="Y31" i="11" s="1"/>
  <c r="Z216" i="11"/>
  <c r="AA208" i="11" s="1"/>
  <c r="AA218" i="11" s="1"/>
  <c r="AA29" i="11" s="1"/>
  <c r="AA31" i="11" s="1"/>
  <c r="AA49" i="11" s="1"/>
  <c r="AA54" i="11" s="1"/>
  <c r="V159" i="11"/>
  <c r="V71" i="11"/>
  <c r="V70" i="11"/>
  <c r="H23" i="10"/>
  <c r="I21" i="10"/>
  <c r="P165" i="11" l="1"/>
  <c r="Q162" i="11" s="1"/>
  <c r="M18" i="10"/>
  <c r="N18" i="10" s="1"/>
  <c r="M19" i="10"/>
  <c r="X68" i="11"/>
  <c r="X71" i="11" s="1"/>
  <c r="U73" i="11"/>
  <c r="U77" i="11" s="1"/>
  <c r="U78" i="11" s="1"/>
  <c r="O21" i="10" s="1"/>
  <c r="Z218" i="11"/>
  <c r="Z29" i="11" s="1"/>
  <c r="Z31" i="11" s="1"/>
  <c r="Z49" i="11" s="1"/>
  <c r="Z54" i="11" s="1"/>
  <c r="V74" i="11"/>
  <c r="L22" i="10" s="1"/>
  <c r="J22" i="10"/>
  <c r="I22" i="10"/>
  <c r="V163" i="11"/>
  <c r="V171" i="11"/>
  <c r="AA68" i="11"/>
  <c r="AA59" i="11"/>
  <c r="AA63" i="11" s="1"/>
  <c r="AA64" i="11" s="1"/>
  <c r="W65" i="11"/>
  <c r="M20" i="10"/>
  <c r="R20" i="10"/>
  <c r="D25" i="10"/>
  <c r="Y49" i="11"/>
  <c r="Y54" i="11" s="1"/>
  <c r="W159" i="11"/>
  <c r="W71" i="11"/>
  <c r="W70" i="11"/>
  <c r="X65" i="11"/>
  <c r="T78" i="11"/>
  <c r="O20" i="10" s="1"/>
  <c r="Q172" i="11" l="1"/>
  <c r="Q175" i="11" s="1"/>
  <c r="Q164" i="11"/>
  <c r="Q167" i="11" s="1"/>
  <c r="X159" i="11"/>
  <c r="X171" i="11" s="1"/>
  <c r="N19" i="10"/>
  <c r="N20" i="10" s="1"/>
  <c r="X70" i="11"/>
  <c r="I24" i="10" s="1"/>
  <c r="K21" i="10"/>
  <c r="R21" i="10" s="1"/>
  <c r="D26" i="10"/>
  <c r="H26" i="10" s="1"/>
  <c r="V73" i="11"/>
  <c r="K22" i="10" s="1"/>
  <c r="J23" i="10"/>
  <c r="W74" i="11"/>
  <c r="L23" i="10" s="1"/>
  <c r="Y68" i="11"/>
  <c r="Y59" i="11"/>
  <c r="Y63" i="11" s="1"/>
  <c r="Y64" i="11" s="1"/>
  <c r="J24" i="10"/>
  <c r="X74" i="11"/>
  <c r="L24" i="10" s="1"/>
  <c r="X163" i="11"/>
  <c r="AA71" i="11"/>
  <c r="AA74" i="11" s="1"/>
  <c r="AA70" i="11"/>
  <c r="AA159" i="11"/>
  <c r="I23" i="10"/>
  <c r="W163" i="11"/>
  <c r="W171" i="11"/>
  <c r="H25" i="10"/>
  <c r="Z59" i="11"/>
  <c r="Z63" i="11" s="1"/>
  <c r="Z64" i="11" s="1"/>
  <c r="Z68" i="11"/>
  <c r="Q173" i="11" l="1"/>
  <c r="R170" i="11" s="1"/>
  <c r="Q165" i="11"/>
  <c r="R172" i="11" s="1"/>
  <c r="M21" i="10"/>
  <c r="N21" i="10" s="1"/>
  <c r="V77" i="11"/>
  <c r="V78" i="11" s="1"/>
  <c r="O22" i="10" s="1"/>
  <c r="AA73" i="11"/>
  <c r="AA77" i="11" s="1"/>
  <c r="R22" i="10"/>
  <c r="M22" i="10"/>
  <c r="Y65" i="11"/>
  <c r="AF65" i="11"/>
  <c r="D80" i="11"/>
  <c r="AJ65" i="11"/>
  <c r="AG65" i="11"/>
  <c r="AB65" i="11"/>
  <c r="AC65" i="11"/>
  <c r="AH65" i="11"/>
  <c r="AA65" i="11"/>
  <c r="Z65" i="11"/>
  <c r="AI65" i="11"/>
  <c r="AE65" i="11"/>
  <c r="AD65" i="11"/>
  <c r="Z159" i="11"/>
  <c r="Z70" i="11"/>
  <c r="Z71" i="11"/>
  <c r="AA163" i="11"/>
  <c r="AA172" i="11"/>
  <c r="AA171" i="11"/>
  <c r="AA164" i="11"/>
  <c r="Y159" i="11"/>
  <c r="Y71" i="11"/>
  <c r="Y70" i="11"/>
  <c r="X73" i="11"/>
  <c r="W73" i="11"/>
  <c r="R162" i="11" l="1"/>
  <c r="R164" i="11"/>
  <c r="R167" i="11" s="1"/>
  <c r="R175" i="11"/>
  <c r="R173" i="11"/>
  <c r="S170" i="11" s="1"/>
  <c r="N22" i="10"/>
  <c r="AA167" i="11"/>
  <c r="AA175" i="11"/>
  <c r="K24" i="10"/>
  <c r="X77" i="11"/>
  <c r="J25" i="10"/>
  <c r="Y74" i="11"/>
  <c r="L25" i="10" s="1"/>
  <c r="J26" i="10"/>
  <c r="Z74" i="11"/>
  <c r="L26" i="10" s="1"/>
  <c r="Z171" i="11"/>
  <c r="Z163" i="11"/>
  <c r="K23" i="10"/>
  <c r="W77" i="11"/>
  <c r="I25" i="10"/>
  <c r="Y171" i="11"/>
  <c r="Y163" i="11"/>
  <c r="I26" i="10"/>
  <c r="Y73" i="11" l="1"/>
  <c r="K25" i="10" s="1"/>
  <c r="R165" i="11"/>
  <c r="S172" i="11" s="1"/>
  <c r="S175" i="11" s="1"/>
  <c r="Z73" i="11"/>
  <c r="K26" i="10" s="1"/>
  <c r="R23" i="10"/>
  <c r="M23" i="10"/>
  <c r="N23" i="10" s="1"/>
  <c r="R24" i="10"/>
  <c r="M24" i="10"/>
  <c r="W78" i="11"/>
  <c r="O23" i="10" s="1"/>
  <c r="X78" i="11"/>
  <c r="O24" i="10" s="1"/>
  <c r="Y77" i="11" l="1"/>
  <c r="Y78" i="11" s="1"/>
  <c r="O25" i="10" s="1"/>
  <c r="S162" i="11"/>
  <c r="S173" i="11"/>
  <c r="T170" i="11" s="1"/>
  <c r="S164" i="11"/>
  <c r="S167" i="11" s="1"/>
  <c r="N24" i="10"/>
  <c r="Z77" i="11"/>
  <c r="R26" i="10"/>
  <c r="M26" i="10"/>
  <c r="R25" i="10"/>
  <c r="M25" i="10"/>
  <c r="Z78" i="11" l="1"/>
  <c r="O26" i="10" s="1"/>
  <c r="S165" i="11"/>
  <c r="T172" i="11" s="1"/>
  <c r="T175" i="11" s="1"/>
  <c r="N25" i="10"/>
  <c r="N26" i="10" s="1"/>
  <c r="N27" i="10" s="1"/>
  <c r="N28" i="10" s="1"/>
  <c r="N29" i="10" s="1"/>
  <c r="N30" i="10" s="1"/>
  <c r="N31" i="10" s="1"/>
  <c r="N32" i="10" s="1"/>
  <c r="N33" i="10" s="1"/>
  <c r="N34" i="10" s="1"/>
  <c r="N35" i="10" s="1"/>
  <c r="N36" i="10" s="1"/>
  <c r="AH78" i="11"/>
  <c r="AF78" i="11"/>
  <c r="AB78" i="11"/>
  <c r="AJ78" i="11"/>
  <c r="AC78" i="11"/>
  <c r="D81" i="11"/>
  <c r="AI78" i="11"/>
  <c r="AE78" i="11"/>
  <c r="AD78" i="11"/>
  <c r="AG78" i="11"/>
  <c r="AA78" i="11"/>
  <c r="D82" i="11"/>
  <c r="K223" i="11" s="1"/>
  <c r="T164" i="11" l="1"/>
  <c r="T167" i="11" s="1"/>
  <c r="T173" i="11"/>
  <c r="U170" i="11" s="1"/>
  <c r="T162" i="11"/>
  <c r="G223" i="11"/>
  <c r="O223" i="11"/>
  <c r="T165" i="11" l="1"/>
  <c r="U164" i="11" s="1"/>
  <c r="U167" i="11" s="1"/>
  <c r="U172" i="11" l="1"/>
  <c r="U173" i="11" s="1"/>
  <c r="V170" i="11" s="1"/>
  <c r="U162" i="11"/>
  <c r="U165" i="11" s="1"/>
  <c r="V162" i="11" s="1"/>
  <c r="V164" i="11" l="1"/>
  <c r="V167" i="11" s="1"/>
  <c r="U175" i="11"/>
  <c r="V172" i="11"/>
  <c r="V175" i="11" s="1"/>
  <c r="V165" i="11" l="1"/>
  <c r="W162" i="11" s="1"/>
  <c r="V173" i="11"/>
  <c r="W170" i="11" s="1"/>
  <c r="W164" i="11" l="1"/>
  <c r="W167" i="11" s="1"/>
  <c r="W172" i="11"/>
  <c r="W175" i="11" s="1"/>
  <c r="W173" i="11" l="1"/>
  <c r="X170" i="11" s="1"/>
  <c r="W165" i="11"/>
  <c r="X172" i="11" s="1"/>
  <c r="X175" i="11" s="1"/>
  <c r="X173" i="11" l="1"/>
  <c r="Y170" i="11" s="1"/>
  <c r="X164" i="11"/>
  <c r="X167" i="11" s="1"/>
  <c r="X162" i="11"/>
  <c r="X165" i="11" l="1"/>
  <c r="Y162" i="11" s="1"/>
  <c r="Y172" i="11" l="1"/>
  <c r="Y173" i="11" s="1"/>
  <c r="Z170" i="11" s="1"/>
  <c r="Y164" i="11"/>
  <c r="Y167" i="11" s="1"/>
  <c r="Y175" i="11" l="1"/>
  <c r="Y165" i="11"/>
  <c r="Z162" i="11" s="1"/>
  <c r="Z164" i="11" l="1"/>
  <c r="Z167" i="11" s="1"/>
  <c r="Z172" i="11"/>
  <c r="Z175" i="11" s="1"/>
  <c r="Z165" i="11" l="1"/>
  <c r="AA162" i="11" s="1"/>
  <c r="AA165" i="11" s="1"/>
  <c r="AB162" i="11" s="1"/>
  <c r="AB165" i="11" s="1"/>
  <c r="AC162" i="11" s="1"/>
  <c r="AC165" i="11" s="1"/>
  <c r="AD162" i="11" s="1"/>
  <c r="AD165" i="11" s="1"/>
  <c r="AE162" i="11" s="1"/>
  <c r="AE165" i="11" s="1"/>
  <c r="AF162" i="11" s="1"/>
  <c r="AF165" i="11" s="1"/>
  <c r="AG162" i="11" s="1"/>
  <c r="AG165" i="11" s="1"/>
  <c r="AH162" i="11" s="1"/>
  <c r="AH165" i="11" s="1"/>
  <c r="AI162" i="11" s="1"/>
  <c r="AI165" i="11" s="1"/>
  <c r="AJ162" i="11" s="1"/>
  <c r="AJ165" i="11" s="1"/>
  <c r="Z173" i="11"/>
  <c r="AA170" i="11" s="1"/>
  <c r="AA173" i="11" s="1"/>
  <c r="AB170" i="11" s="1"/>
  <c r="AB173" i="11" s="1"/>
  <c r="AC170" i="11" s="1"/>
  <c r="AC173" i="11" s="1"/>
  <c r="AD170" i="11" s="1"/>
  <c r="AD173" i="11" s="1"/>
  <c r="AE170" i="11" s="1"/>
  <c r="AE173" i="11" s="1"/>
  <c r="AF170" i="11" s="1"/>
  <c r="AF173" i="11" s="1"/>
  <c r="AG170" i="11" s="1"/>
  <c r="AG173" i="11" s="1"/>
  <c r="AH170" i="11" s="1"/>
  <c r="AH173" i="11" s="1"/>
  <c r="AI170" i="11" s="1"/>
  <c r="AI173" i="11" s="1"/>
  <c r="AJ170" i="11" s="1"/>
  <c r="AJ173"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Jason Gifford</author>
  </authors>
  <commentList>
    <comment ref="D23" authorId="0" shapeId="0" xr:uid="{00000000-0006-0000-0000-000001000000}">
      <text>
        <r>
          <rPr>
            <b/>
            <sz val="14"/>
            <color indexed="81"/>
            <rFont val="Tahoma"/>
            <family val="2"/>
          </rPr>
          <t>Note:</t>
        </r>
        <r>
          <rPr>
            <sz val="14"/>
            <color indexed="81"/>
            <rFont val="Tahoma"/>
            <family val="2"/>
          </rPr>
          <t xml:space="preserve">
The user is strongly encouraged to review all of these comments in order to understand key features of the CREST model.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Jason Gifford</author>
    <author>Ryan Miamis</author>
    <author>Tyler Leeds</author>
  </authors>
  <commentList>
    <comment ref="C4" authorId="0" shapeId="0" xr:uid="{00000000-0006-0000-0100-000001000000}">
      <text>
        <r>
          <rPr>
            <sz val="14"/>
            <color indexed="81"/>
            <rFont val="Tahoma"/>
            <family val="2"/>
          </rPr>
          <t xml:space="preserve">The "Check" column evaluates whether or not values have been enterred in all required fields.  Green denotes an accepted entry in a required field or a calculation for which the minimum required precedents have been satisfied.  Red denotes the absence of an entry in a required field, or a calculation for which the minimum required precendents have NOT been satisfied.
</t>
        </r>
        <r>
          <rPr>
            <b/>
            <sz val="14"/>
            <color indexed="81"/>
            <rFont val="Tahoma"/>
            <family val="2"/>
          </rPr>
          <t>Please note</t>
        </r>
        <r>
          <rPr>
            <sz val="14"/>
            <color indexed="81"/>
            <rFont val="Tahoma"/>
            <family val="2"/>
          </rPr>
          <t xml:space="preserve"> that while the "Check" column ensures the population of all required fields, this column does NOT validate the magnitude of such entries.  It is the model user's responsibility to provide inputs which accurately represent the project being modeled.  In some cases, a range of typical values for a specified input are provided in that input's "Notes" cell.</t>
        </r>
      </text>
    </comment>
    <comment ref="I4" authorId="0" shapeId="0" xr:uid="{00000000-0006-0000-0100-000002000000}">
      <text>
        <r>
          <rPr>
            <sz val="14"/>
            <color indexed="81"/>
            <rFont val="Tahoma"/>
            <family val="2"/>
          </rPr>
          <t xml:space="preserve">Each cell in the "Notes" column provides a brief description of the input in the corresponding row, its application within the model, and (in some cases) the range of values that might be expected to populate that  input cell.  It is the model user's responsibility, however, to research and validate the applicability of, and appropriate value for, each input.
</t>
        </r>
        <r>
          <rPr>
            <sz val="8"/>
            <color indexed="81"/>
            <rFont val="Tahoma"/>
            <family val="2"/>
          </rPr>
          <t xml:space="preserve">
</t>
        </r>
      </text>
    </comment>
    <comment ref="M4" authorId="0" shapeId="0" xr:uid="{00000000-0006-0000-0100-000003000000}">
      <text>
        <r>
          <rPr>
            <sz val="14"/>
            <color indexed="81"/>
            <rFont val="Tahoma"/>
            <family val="2"/>
          </rPr>
          <t xml:space="preserve">The "Check" column evaluates whether or not values have been enterred in all required fields.  Green denotes an accepted entry in a required field or a calculation for which the minimum required precedents have been satisfied.  Red denotes the absence of an entry in a required field, or a calculation for which the minimum required precendents have NOT been satisfied.
</t>
        </r>
        <r>
          <rPr>
            <b/>
            <sz val="14"/>
            <color indexed="81"/>
            <rFont val="Tahoma"/>
            <family val="2"/>
          </rPr>
          <t>Please note</t>
        </r>
        <r>
          <rPr>
            <sz val="14"/>
            <color indexed="81"/>
            <rFont val="Tahoma"/>
            <family val="2"/>
          </rPr>
          <t xml:space="preserve"> that while the "Check" column ensures the population of all required fields, this column does NOT validate the magnitude of such entries.  It is the model user's responsibility to provide inputs which accurately represent the project being modeled.  In some cases, a range of typical values for a specified input are provided in that input's "Notes" cell.</t>
        </r>
      </text>
    </comment>
    <comment ref="S4" authorId="0" shapeId="0" xr:uid="{00000000-0006-0000-0100-000004000000}">
      <text>
        <r>
          <rPr>
            <sz val="14"/>
            <color indexed="81"/>
            <rFont val="Tahoma"/>
            <family val="2"/>
          </rPr>
          <t>Each cell in the "Notes" column provides a brief description of the input in the corresponding row, its application within the model, and (in some cases) the range of values that might be expected to populate that  input cell. It is the model user's responsibility, however, to research and validate the applicability of, and appropriate value for, each input.</t>
        </r>
        <r>
          <rPr>
            <sz val="8"/>
            <color indexed="81"/>
            <rFont val="Tahoma"/>
            <family val="2"/>
          </rPr>
          <t xml:space="preserve">
</t>
        </r>
      </text>
    </comment>
    <comment ref="F6" authorId="0" shapeId="0" xr:uid="{00000000-0006-0000-0100-000005000000}">
      <text>
        <r>
          <rPr>
            <b/>
            <sz val="8"/>
            <color indexed="81"/>
            <rFont val="Tahoma"/>
            <family val="2"/>
          </rPr>
          <t>See "unit" definitions at the bottom of this worksheet.</t>
        </r>
        <r>
          <rPr>
            <sz val="8"/>
            <color indexed="81"/>
            <rFont val="Tahoma"/>
            <family val="2"/>
          </rPr>
          <t xml:space="preserve">
</t>
        </r>
      </text>
    </comment>
    <comment ref="P6" authorId="0" shapeId="0" xr:uid="{00000000-0006-0000-0100-000006000000}">
      <text>
        <r>
          <rPr>
            <b/>
            <sz val="8"/>
            <color indexed="81"/>
            <rFont val="Tahoma"/>
            <family val="2"/>
          </rPr>
          <t>See "unit" definitions at the bottom of this worksheet.</t>
        </r>
        <r>
          <rPr>
            <sz val="8"/>
            <color indexed="81"/>
            <rFont val="Tahoma"/>
            <family val="2"/>
          </rPr>
          <t xml:space="preserve">
</t>
        </r>
      </text>
    </comment>
    <comment ref="I7" authorId="1" shapeId="0" xr:uid="{00000000-0006-0000-0100-000007000000}">
      <text>
        <r>
          <rPr>
            <b/>
            <sz val="14"/>
            <color indexed="81"/>
            <rFont val="Tahoma"/>
            <family val="2"/>
          </rPr>
          <t xml:space="preserve">Note:
</t>
        </r>
        <r>
          <rPr>
            <sz val="14"/>
            <color indexed="81"/>
            <rFont val="Tahoma"/>
            <family val="2"/>
          </rPr>
          <t>The number of fuel cell units per generating facility.
Fuel cells are a modular technology, allowing many units to operating together as a larger facility.</t>
        </r>
      </text>
    </comment>
    <comment ref="S7" authorId="0" shapeId="0" xr:uid="{00000000-0006-0000-0100-000008000000}">
      <text>
        <r>
          <rPr>
            <b/>
            <sz val="14"/>
            <color indexed="81"/>
            <rFont val="Tahoma"/>
            <family val="2"/>
          </rPr>
          <t>NOTE:</t>
        </r>
        <r>
          <rPr>
            <sz val="14"/>
            <color indexed="81"/>
            <rFont val="Tahoma"/>
            <family val="2"/>
          </rPr>
          <t xml:space="preserve">
Heat exchangers are not 100% efficient.  This input represents the efficiency with which waste heat is converted into a usable format. 
This value will be site specific.</t>
        </r>
      </text>
    </comment>
    <comment ref="I8" authorId="1" shapeId="0" xr:uid="{00000000-0006-0000-0100-000009000000}">
      <text>
        <r>
          <rPr>
            <b/>
            <sz val="14"/>
            <color indexed="81"/>
            <rFont val="Tahoma"/>
            <family val="2"/>
          </rPr>
          <t xml:space="preserve">Note: </t>
        </r>
        <r>
          <rPr>
            <sz val="8"/>
            <color indexed="81"/>
            <rFont val="Tahoma"/>
            <family val="2"/>
          </rPr>
          <t xml:space="preserve">
</t>
        </r>
        <r>
          <rPr>
            <sz val="14"/>
            <color indexed="81"/>
            <rFont val="Tahoma"/>
            <family val="2"/>
          </rPr>
          <t>This is the nameplate rating for the generating unit as rated by the manufacturer at the normal operating conditions.
Input must be greater than zero.</t>
        </r>
      </text>
    </comment>
    <comment ref="S8" authorId="0" shapeId="0" xr:uid="{00000000-0006-0000-0100-00000A000000}">
      <text>
        <r>
          <rPr>
            <b/>
            <sz val="14"/>
            <color indexed="81"/>
            <rFont val="Tahoma"/>
            <family val="2"/>
          </rPr>
          <t>NOTE:</t>
        </r>
        <r>
          <rPr>
            <sz val="14"/>
            <color indexed="81"/>
            <rFont val="Tahoma"/>
            <family val="2"/>
          </rPr>
          <t xml:space="preserve">
This is the waste heat available for sale, and is calculated by first subtracting the BTUs used to generate 1 kWh from the total heat content required by the generator (it's heat rate) to produce that kWh, and then multiplying by the assumed heat capture efficiency.
This value will be site specific.</t>
        </r>
      </text>
    </comment>
    <comment ref="I9" authorId="2" shapeId="0" xr:uid="{00000000-0006-0000-0100-00000B000000}">
      <text>
        <r>
          <rPr>
            <b/>
            <sz val="14"/>
            <color indexed="81"/>
            <rFont val="Tahoma"/>
            <family val="2"/>
          </rPr>
          <t>Note:</t>
        </r>
        <r>
          <rPr>
            <sz val="14"/>
            <color indexed="81"/>
            <rFont val="Tahoma"/>
            <family val="2"/>
          </rPr>
          <t xml:space="preserve">
This is the aggregate nameplate rating for the entire generating facility as rated by the manufacturer at the normal operating conditions.
Input must be greater than zero.
This value will be site specific but reasonable inputs are likely to fall in the range of 100 kW to tens of megawatts.</t>
        </r>
      </text>
    </comment>
    <comment ref="S9" authorId="0" shapeId="0" xr:uid="{00000000-0006-0000-0100-00000C000000}">
      <text>
        <r>
          <rPr>
            <b/>
            <sz val="14"/>
            <color indexed="81"/>
            <rFont val="Tahoma"/>
            <family val="2"/>
          </rPr>
          <t>NOTE:</t>
        </r>
        <r>
          <rPr>
            <sz val="14"/>
            <color indexed="81"/>
            <rFont val="Tahoma"/>
            <family val="2"/>
          </rPr>
          <t xml:space="preserve">
The price (or market value due to avoided cost) of heat sold (or offsetting retail purchases).
This value will be site specific.</t>
        </r>
      </text>
    </comment>
    <comment ref="I10" authorId="0" shapeId="0" xr:uid="{00000000-0006-0000-0100-00000D000000}">
      <text>
        <r>
          <rPr>
            <b/>
            <sz val="14"/>
            <color indexed="81"/>
            <rFont val="Tahoma"/>
            <family val="2"/>
          </rPr>
          <t>NOTE:</t>
        </r>
        <r>
          <rPr>
            <sz val="14"/>
            <color indexed="81"/>
            <rFont val="Tahoma"/>
            <family val="2"/>
          </rPr>
          <t xml:space="preserve">
No conversion technology is 100% efficient.  This input represents the efficiency with which the fuel cells converts fuel to electricity. 
See the Waste Heat inputs to the right for taking the additional useable heat and potential revenue into account.
This value will be site specific but reasonable inputs are likely to fall in the range of 35-60%</t>
        </r>
      </text>
    </comment>
    <comment ref="S10" authorId="0" shapeId="0" xr:uid="{00000000-0006-0000-0100-00000E000000}">
      <text>
        <r>
          <rPr>
            <b/>
            <sz val="14"/>
            <color indexed="81"/>
            <rFont val="Tahoma"/>
            <family val="2"/>
          </rPr>
          <t xml:space="preserve">Note:
</t>
        </r>
        <r>
          <rPr>
            <sz val="14"/>
            <color indexed="81"/>
            <rFont val="Tahoma"/>
            <family val="2"/>
          </rPr>
          <t xml:space="preserve">This cell provides the inflation rate for the remainder of the project's useful life.
Input must be greater than zero.
This value will be site specific.
</t>
        </r>
      </text>
    </comment>
    <comment ref="I11" authorId="0" shapeId="0" xr:uid="{00000000-0006-0000-0100-00000F000000}">
      <text>
        <r>
          <rPr>
            <b/>
            <sz val="14"/>
            <color indexed="81"/>
            <rFont val="Tahoma"/>
            <family val="2"/>
          </rPr>
          <t>NOTE:</t>
        </r>
        <r>
          <rPr>
            <sz val="14"/>
            <color indexed="81"/>
            <rFont val="Tahoma"/>
            <family val="2"/>
          </rPr>
          <t xml:space="preserve">
Heat rate is a measurement used to represent generator efficiency.  Heat rate is typically expressed as the number of BTUs of heat required to produce one kWh of electricity.</t>
        </r>
      </text>
    </comment>
    <comment ref="I12" authorId="0" shapeId="0" xr:uid="{00000000-0006-0000-0100-000010000000}">
      <text>
        <r>
          <rPr>
            <b/>
            <sz val="14"/>
            <color indexed="81"/>
            <rFont val="Tahoma"/>
            <family val="2"/>
          </rPr>
          <t>NOTE:</t>
        </r>
        <r>
          <rPr>
            <sz val="14"/>
            <color indexed="81"/>
            <rFont val="Tahoma"/>
            <family val="2"/>
          </rPr>
          <t xml:space="preserve">
The typical caloric value of natural gas is roughly 1,000 British thermal units (BTU) per cubic foot, depending on gas composition.</t>
        </r>
      </text>
    </comment>
    <comment ref="P12" authorId="0" shapeId="0" xr:uid="{00000000-0006-0000-0100-000011000000}">
      <text>
        <r>
          <rPr>
            <b/>
            <sz val="8"/>
            <color indexed="81"/>
            <rFont val="Tahoma"/>
            <family val="2"/>
          </rPr>
          <t>See "unit" definitions at the bottom of this worksheet.</t>
        </r>
        <r>
          <rPr>
            <sz val="8"/>
            <color indexed="81"/>
            <rFont val="Tahoma"/>
            <family val="2"/>
          </rPr>
          <t xml:space="preserve">
</t>
        </r>
      </text>
    </comment>
    <comment ref="I13" authorId="1" shapeId="0" xr:uid="{00000000-0006-0000-0100-000012000000}">
      <text>
        <r>
          <rPr>
            <b/>
            <sz val="14"/>
            <color indexed="81"/>
            <rFont val="Tahoma"/>
            <family val="2"/>
          </rPr>
          <t>Note:</t>
        </r>
        <r>
          <rPr>
            <sz val="14"/>
            <color indexed="81"/>
            <rFont val="Tahoma"/>
            <family val="2"/>
          </rPr>
          <t xml:space="preserve">
Total fuel consumption for fuel cell generating facility measured in cubic feet per year.  This value is calculated based on plant size, efficiency and fuel energy content.</t>
        </r>
      </text>
    </comment>
    <comment ref="S13" authorId="2" shapeId="0" xr:uid="{00000000-0006-0000-0100-000013000000}">
      <text>
        <r>
          <rPr>
            <b/>
            <sz val="14"/>
            <color indexed="81"/>
            <rFont val="Tahoma"/>
            <family val="2"/>
          </rPr>
          <t xml:space="preserve">Note:
</t>
        </r>
        <r>
          <rPr>
            <sz val="14"/>
            <color indexed="81"/>
            <rFont val="Tahoma"/>
            <family val="2"/>
          </rPr>
          <t xml:space="preserve">The FIT contract length is the number of years for which the rate specified by this model is available. This term is established by policymakers and must be less than or equal to the project's useful life.  
The contract duration is also different than the debt tenor (if applicable), which is specified in the Permanent Financing section below.
</t>
        </r>
      </text>
    </comment>
    <comment ref="I14" authorId="0" shapeId="0" xr:uid="{00000000-0006-0000-0100-000014000000}">
      <text>
        <r>
          <rPr>
            <b/>
            <sz val="14"/>
            <color indexed="81"/>
            <rFont val="Tahoma"/>
            <family val="2"/>
          </rPr>
          <t>NOTE:</t>
        </r>
        <r>
          <rPr>
            <sz val="14"/>
            <color indexed="81"/>
            <rFont val="Tahoma"/>
            <family val="2"/>
          </rPr>
          <t xml:space="preserve">
The 'availability factor' represents the percentage of annual hours in which the generator is operational and available to deliver electricity to the gris (or on-site host). 
This value will be site specific but reasonable inputs are likely to fall in the range of 85-95%</t>
        </r>
      </text>
    </comment>
    <comment ref="S14" authorId="2" shapeId="0" xr:uid="{00000000-0006-0000-0100-000015000000}">
      <text>
        <r>
          <rPr>
            <b/>
            <sz val="14"/>
            <color indexed="81"/>
            <rFont val="Tahoma"/>
            <family val="2"/>
          </rPr>
          <t xml:space="preserve">Note:
</t>
        </r>
        <r>
          <rPr>
            <sz val="14"/>
            <color indexed="81"/>
            <rFont val="Tahoma"/>
            <family val="2"/>
          </rPr>
          <t xml:space="preserve">This is the portion (%) of the tariff which is subject to annual escalation.  
Program administrators may determine that some or all of the tariff rate should be escalated to reflect the uncertainty associated with the future cost of owning and operating an electricity generating facility. This input is separate from the inflation assumed to apply to certain O&amp;M expenses, which is provided as an input in the O&amp;M section below.
Input must be between 0% and 100%.
</t>
        </r>
      </text>
    </comment>
    <comment ref="I15" authorId="0" shapeId="0" xr:uid="{00000000-0006-0000-0100-000016000000}">
      <text>
        <r>
          <rPr>
            <b/>
            <sz val="14"/>
            <color indexed="81"/>
            <rFont val="Tahoma"/>
            <family val="2"/>
          </rPr>
          <t>NOTE:</t>
        </r>
        <r>
          <rPr>
            <sz val="14"/>
            <color indexed="81"/>
            <rFont val="Tahoma"/>
            <family val="2"/>
          </rPr>
          <t xml:space="preserve">
Station service is the electricity used in the operation of the power plant itself -- and is therefore subtracted from total production in order to calculate electricity available for sale, whether it be to the grid or to an on-site host.
Station service is also referred to as parasitic load.
This value will be site specific but reasonable inputs are likely to fall in the range of 3-17%</t>
        </r>
      </text>
    </comment>
    <comment ref="S15" authorId="2" shapeId="0" xr:uid="{00000000-0006-0000-0100-000017000000}">
      <text>
        <r>
          <rPr>
            <b/>
            <sz val="14"/>
            <color indexed="81"/>
            <rFont val="Tahoma"/>
            <family val="2"/>
          </rPr>
          <t xml:space="preserve">Note:
</t>
        </r>
        <r>
          <rPr>
            <sz val="14"/>
            <color indexed="81"/>
            <rFont val="Tahoma"/>
            <family val="2"/>
          </rPr>
          <t xml:space="preserve">To calculate a </t>
        </r>
        <r>
          <rPr>
            <b/>
            <sz val="14"/>
            <color indexed="81"/>
            <rFont val="Tahoma"/>
            <family val="2"/>
          </rPr>
          <t>nominal levelized tariff rate</t>
        </r>
        <r>
          <rPr>
            <sz val="14"/>
            <color indexed="81"/>
            <rFont val="Tahoma"/>
            <family val="2"/>
          </rPr>
          <t xml:space="preserve">, the "feed-in tariff escalation rate" field should be </t>
        </r>
        <r>
          <rPr>
            <b/>
            <sz val="14"/>
            <color indexed="81"/>
            <rFont val="Tahoma"/>
            <family val="2"/>
          </rPr>
          <t>set to zero</t>
        </r>
        <r>
          <rPr>
            <sz val="14"/>
            <color indexed="81"/>
            <rFont val="Tahoma"/>
            <family val="2"/>
          </rPr>
          <t>.</t>
        </r>
        <r>
          <rPr>
            <b/>
            <sz val="14"/>
            <color indexed="81"/>
            <rFont val="Tahoma"/>
            <family val="2"/>
          </rPr>
          <t xml:space="preserve">
</t>
        </r>
        <r>
          <rPr>
            <sz val="14"/>
            <color indexed="81"/>
            <rFont val="Tahoma"/>
            <family val="2"/>
          </rPr>
          <t xml:space="preserve">Where applied, tariff rate escalation is intended to serve as a risk mitigating tool, at least partially protecting the project investor from the uncertainty associated with the future cost of owning and operating the renewable energy facility. The escalation rate can be used to assume a year over year increase in all, or a portion, of the per unit payment provided to eligible generators. This concept is separate from inflationary adjustments to future operating cost assumptions -- which are input below.
This rate is applied annually.  Note that in this model, calendar years and tariff years are aligned.
</t>
        </r>
        <r>
          <rPr>
            <b/>
            <sz val="14"/>
            <color indexed="81"/>
            <rFont val="Tahoma"/>
            <family val="2"/>
          </rPr>
          <t>Caution:</t>
        </r>
        <r>
          <rPr>
            <sz val="14"/>
            <color indexed="81"/>
            <rFont val="Tahoma"/>
            <family val="2"/>
          </rPr>
          <t xml:space="preserve"> A value must be entered into this cell in order for the model to function properly. The input can be positive or negative (if the FIT value decreases over time), and a typical value may fall between 0% and 5%.  
</t>
        </r>
      </text>
    </comment>
    <comment ref="I16" authorId="1" shapeId="0" xr:uid="{00000000-0006-0000-0100-000018000000}">
      <text>
        <r>
          <rPr>
            <b/>
            <sz val="14"/>
            <color indexed="81"/>
            <rFont val="Tahoma"/>
            <family val="2"/>
          </rPr>
          <t>Note:</t>
        </r>
        <r>
          <rPr>
            <b/>
            <sz val="8"/>
            <color indexed="81"/>
            <rFont val="Tahoma"/>
            <family val="2"/>
          </rPr>
          <t xml:space="preserve">
</t>
        </r>
        <r>
          <rPr>
            <sz val="14"/>
            <color indexed="81"/>
            <rFont val="Tahoma"/>
            <family val="2"/>
          </rPr>
          <t>Total electricity production in year 1, measured in kWh.</t>
        </r>
      </text>
    </comment>
    <comment ref="I17" authorId="1" shapeId="0" xr:uid="{00000000-0006-0000-0100-000019000000}">
      <text>
        <r>
          <rPr>
            <b/>
            <sz val="14"/>
            <color indexed="81"/>
            <rFont val="Tahoma"/>
            <family val="2"/>
          </rPr>
          <t xml:space="preserve">Note:
</t>
        </r>
        <r>
          <rPr>
            <sz val="14"/>
            <color indexed="81"/>
            <rFont val="Tahoma"/>
            <family val="2"/>
          </rPr>
          <t>Degradation represents the decline in a fuel cell's efficiency over time.  This translates into a higher heat rate and the need to consume more fuel over time in order to achieve the same annual production.
Fuel cells are typically "restacked" every 5 to 7 years in order to return the facility to (approximately) its original operating efficiency.</t>
        </r>
        <r>
          <rPr>
            <sz val="8"/>
            <color indexed="81"/>
            <rFont val="Tahoma"/>
            <family val="2"/>
          </rPr>
          <t xml:space="preserve">
</t>
        </r>
      </text>
    </comment>
    <comment ref="S17" authorId="2" shapeId="0" xr:uid="{00000000-0006-0000-0100-00001A000000}">
      <text>
        <r>
          <rPr>
            <b/>
            <sz val="14"/>
            <color indexed="81"/>
            <rFont val="Tahoma"/>
            <family val="2"/>
          </rPr>
          <t xml:space="preserve">Note:
</t>
        </r>
        <r>
          <rPr>
            <sz val="14"/>
            <color indexed="81"/>
            <rFont val="Tahoma"/>
            <family val="2"/>
          </rPr>
          <t>If the designated "FIT Contract Length" is less than the defined "Project Useful Life", then this grouping of inputs is used to calculate the project's market-based revenue during the period from FIT contract expiration to the end of the project's life.</t>
        </r>
        <r>
          <rPr>
            <b/>
            <sz val="14"/>
            <color indexed="81"/>
            <rFont val="Tahoma"/>
            <family val="2"/>
          </rPr>
          <t xml:space="preserve">
</t>
        </r>
        <r>
          <rPr>
            <sz val="14"/>
            <color indexed="81"/>
            <rFont val="Tahoma"/>
            <family val="2"/>
          </rPr>
          <t xml:space="preserve">
</t>
        </r>
      </text>
    </comment>
    <comment ref="I18" authorId="1" shapeId="0" xr:uid="{00000000-0006-0000-0100-00001B000000}">
      <text>
        <r>
          <rPr>
            <b/>
            <sz val="14"/>
            <color indexed="81"/>
            <rFont val="Tahoma"/>
            <family val="2"/>
          </rPr>
          <t xml:space="preserve">Note:
</t>
        </r>
        <r>
          <rPr>
            <sz val="14"/>
            <color indexed="81"/>
            <rFont val="Tahoma"/>
            <family val="2"/>
          </rPr>
          <t>The estimated # of hour of operation before restacking is necessary.</t>
        </r>
      </text>
    </comment>
    <comment ref="S18" authorId="2" shapeId="0" xr:uid="{00000000-0006-0000-0100-00001C000000}">
      <text>
        <r>
          <rPr>
            <b/>
            <sz val="14"/>
            <color indexed="81"/>
            <rFont val="Tahoma"/>
            <family val="2"/>
          </rPr>
          <t xml:space="preserve">Note:
</t>
        </r>
        <r>
          <rPr>
            <sz val="14"/>
            <color indexed="81"/>
            <rFont val="Tahoma"/>
            <family val="2"/>
          </rPr>
          <t>Selecting "Year One" forecasts the total market value of production based on an estimate of that value in the project's first year of commercial operation and a user-defined escalation rate.  
Selecting "Year-by-Year" enables the user to enter unique annual values for the period after the FIT expires and before the end of the project's useful life.</t>
        </r>
        <r>
          <rPr>
            <b/>
            <sz val="14"/>
            <color indexed="81"/>
            <rFont val="Tahoma"/>
            <family val="2"/>
          </rPr>
          <t xml:space="preserve">
</t>
        </r>
        <r>
          <rPr>
            <sz val="14"/>
            <color indexed="81"/>
            <rFont val="Tahoma"/>
            <family val="2"/>
          </rPr>
          <t xml:space="preserve">
</t>
        </r>
      </text>
    </comment>
    <comment ref="I19" authorId="2" shapeId="0" xr:uid="{00000000-0006-0000-0100-00001D000000}">
      <text>
        <r>
          <rPr>
            <b/>
            <sz val="14"/>
            <color indexed="81"/>
            <rFont val="Tahoma"/>
            <family val="2"/>
          </rPr>
          <t xml:space="preserve">Note:
</t>
        </r>
        <r>
          <rPr>
            <sz val="14"/>
            <color indexed="81"/>
            <rFont val="Tahoma"/>
            <family val="2"/>
          </rPr>
          <t>The Project Useful Life is the number of years that the project is expected to be fully operational, reliably delivering electricity to the grid, and generating revenue. This concept is different from the FIT Contract Length, which is administratively determined by policymakers. These two values may be the same if a FIT contract is offered for the project's entire expected useful life. This approach is likely to generate the lowest tariff rate, while successfully attracting investors to renewable energy projects.  
The CREST model is built for a maximum Project Useful Life of 30 years.
Input must be greater than 0 and less than or equal to 30.
This value will be site specific but reasonable inputs are likely to fall in the range of 10-30 years</t>
        </r>
      </text>
    </comment>
    <comment ref="S19" authorId="2" shapeId="0" xr:uid="{00000000-0006-0000-0100-00001E000000}">
      <text>
        <r>
          <rPr>
            <b/>
            <sz val="14"/>
            <color indexed="81"/>
            <rFont val="Tahoma"/>
            <family val="2"/>
          </rPr>
          <t xml:space="preserve">Note:
</t>
        </r>
        <r>
          <rPr>
            <sz val="14"/>
            <color indexed="81"/>
            <rFont val="Tahoma"/>
            <family val="2"/>
          </rPr>
          <t xml:space="preserve">This is the </t>
        </r>
        <r>
          <rPr>
            <b/>
            <sz val="14"/>
            <color indexed="81"/>
            <rFont val="Tahoma"/>
            <family val="2"/>
          </rPr>
          <t>combined</t>
        </r>
        <r>
          <rPr>
            <sz val="14"/>
            <color indexed="81"/>
            <rFont val="Tahoma"/>
            <family val="2"/>
          </rPr>
          <t xml:space="preserve"> (or "bundled") market value of energy + capacity + Renewable Energy Credtis (RECs) in the same year in which the project's first enters commercial operation.
This input must be greater than zero.
</t>
        </r>
      </text>
    </comment>
    <comment ref="S20" authorId="2" shapeId="0" xr:uid="{00000000-0006-0000-0100-00001F000000}">
      <text>
        <r>
          <rPr>
            <b/>
            <sz val="14"/>
            <color indexed="81"/>
            <rFont val="Tahoma"/>
            <family val="2"/>
          </rPr>
          <t xml:space="preserve">Note:
</t>
        </r>
        <r>
          <rPr>
            <sz val="14"/>
            <color indexed="81"/>
            <rFont val="Tahoma"/>
            <family val="2"/>
          </rPr>
          <t xml:space="preserve">When the "Year One" forecast methodology is selected, this is the user-defined escalation rate at which the market value of production is expected to change.
Input must be greater than zero.
</t>
        </r>
      </text>
    </comment>
    <comment ref="F21" authorId="0" shapeId="0" xr:uid="{00000000-0006-0000-0100-000020000000}">
      <text>
        <r>
          <rPr>
            <b/>
            <sz val="8"/>
            <color indexed="81"/>
            <rFont val="Tahoma"/>
            <family val="2"/>
          </rPr>
          <t>See "unit" definitions at the bottom of this worksheet.</t>
        </r>
        <r>
          <rPr>
            <sz val="8"/>
            <color indexed="81"/>
            <rFont val="Tahoma"/>
            <family val="2"/>
          </rPr>
          <t xml:space="preserve">
</t>
        </r>
      </text>
    </comment>
    <comment ref="S21" authorId="2" shapeId="0" xr:uid="{00000000-0006-0000-0100-000021000000}">
      <text>
        <r>
          <rPr>
            <b/>
            <sz val="14"/>
            <color indexed="81"/>
            <rFont val="Tahoma"/>
            <family val="2"/>
          </rPr>
          <t xml:space="preserve">Note:
</t>
        </r>
        <r>
          <rPr>
            <sz val="14"/>
            <color indexed="81"/>
            <rFont val="Tahoma"/>
            <family val="2"/>
          </rPr>
          <t xml:space="preserve">When "Year-by-Year" market value of production forecast is selected, this link brings the user to another worksheet on which unique annual values may be entered.
</t>
        </r>
      </text>
    </comment>
    <comment ref="I22" authorId="2" shapeId="0" xr:uid="{00000000-0006-0000-0100-000022000000}">
      <text>
        <r>
          <rPr>
            <b/>
            <sz val="14"/>
            <color indexed="81"/>
            <rFont val="Tahoma"/>
            <family val="2"/>
          </rPr>
          <t>Note:</t>
        </r>
        <r>
          <rPr>
            <sz val="14"/>
            <color indexed="81"/>
            <rFont val="Tahoma"/>
            <family val="2"/>
          </rPr>
          <t xml:space="preserve">
This model alllows the user to input system cost at 1 of 3 levels of detail: "simple", "intermediate" or "complex." Simple offers a single input in $/kW, Intermediate offers five cost subcategories in total dollars, and Complex offers line-by-line project costing with user-defined categories and costs per line-item.  
Select your preferred method and use the cells below to enter your cost information. If you choose the "Complex" option, you will need to follow the link below to the "Complex Capital Costs" tab.</t>
        </r>
      </text>
    </comment>
    <comment ref="I23" authorId="2" shapeId="0" xr:uid="{00000000-0006-0000-0100-000023000000}">
      <text>
        <r>
          <rPr>
            <b/>
            <sz val="14"/>
            <color indexed="81"/>
            <rFont val="Tahoma"/>
            <family val="2"/>
          </rPr>
          <t>Note:</t>
        </r>
        <r>
          <rPr>
            <sz val="14"/>
            <color indexed="81"/>
            <rFont val="Tahoma"/>
            <family val="2"/>
          </rPr>
          <t xml:space="preserve">
When "Simple" is selected in the Cost Level of Detail cell, this "Total Installed Cost" row represents the total expected all-in project cost, which should include all hardware, balance of plant, interconnection, design, construction, permitting, development (including developer fee), interest during construction and financing costs. This figure should not account for any tax incentives, grants, or other cash incentives, each of which will be addressed elsewhere in the model. This figure should, however, reflect any applicable sales tax or exemptions thereof.
Input must be greater than zero.
</t>
        </r>
      </text>
    </comment>
    <comment ref="P23" authorId="0" shapeId="0" xr:uid="{00000000-0006-0000-0100-000024000000}">
      <text>
        <r>
          <rPr>
            <b/>
            <sz val="8"/>
            <color indexed="81"/>
            <rFont val="Tahoma"/>
            <family val="2"/>
          </rPr>
          <t>See "unit" definitions at the bottom of this worksheet.</t>
        </r>
        <r>
          <rPr>
            <sz val="8"/>
            <color indexed="81"/>
            <rFont val="Tahoma"/>
            <family val="2"/>
          </rPr>
          <t xml:space="preserve">
</t>
        </r>
      </text>
    </comment>
    <comment ref="I24" authorId="2" shapeId="0" xr:uid="{00000000-0006-0000-0100-000025000000}">
      <text>
        <r>
          <rPr>
            <b/>
            <sz val="14"/>
            <color indexed="81"/>
            <rFont val="Tahoma"/>
            <family val="2"/>
          </rPr>
          <t>Note:</t>
        </r>
        <r>
          <rPr>
            <sz val="14"/>
            <color indexed="81"/>
            <rFont val="Tahoma"/>
            <family val="2"/>
          </rPr>
          <t xml:space="preserve">
"Generation Equipment" should include all hardware related to the generator.  
Caution: the model assumes that if "Intermediate" is selected as the level of detail section, the "Generation Equipment" row must have a value greater than zero. 
</t>
        </r>
      </text>
    </comment>
    <comment ref="S24" authorId="0" shapeId="0" xr:uid="{00000000-0006-0000-0100-000026000000}">
      <text>
        <r>
          <rPr>
            <b/>
            <sz val="14"/>
            <color indexed="81"/>
            <rFont val="Tahoma"/>
            <family val="2"/>
          </rPr>
          <t xml:space="preserve">Note:
</t>
        </r>
        <r>
          <rPr>
            <sz val="14"/>
            <color indexed="81"/>
            <rFont val="Tahoma"/>
            <family val="2"/>
          </rPr>
          <t>This drop-down input cell allows the user to specify whether federal incentives are cost-based (e.g. an investment tax credit) or performance-based (e.g. a PTC). The magnitude and terms of these incentives are set in the cells below.
For more information, a useful resource for researching federal and state incentives online is:  
http://dsireusa.org/
*See bottom of introduction page for a list of links</t>
        </r>
      </text>
    </comment>
    <comment ref="I25" authorId="2" shapeId="0" xr:uid="{00000000-0006-0000-0100-000027000000}">
      <text>
        <r>
          <rPr>
            <b/>
            <sz val="14"/>
            <color indexed="81"/>
            <rFont val="Tahoma"/>
            <family val="2"/>
          </rPr>
          <t>Note:</t>
        </r>
        <r>
          <rPr>
            <sz val="14"/>
            <color indexed="81"/>
            <rFont val="Tahoma"/>
            <family val="2"/>
          </rPr>
          <t xml:space="preserve">
Balance of Plant (also known as Balance of System) represents all infrastructure, site prep and labor supporting the installation of the generation equipment. BOP costs include foundations, mounting devices, other hardware, and labor not already accounted for in the "Generation Equipment" row.
Input cannot be less than zero.
</t>
        </r>
      </text>
    </comment>
    <comment ref="S25" authorId="2" shapeId="0" xr:uid="{00000000-0006-0000-0100-000028000000}">
      <text>
        <r>
          <rPr>
            <b/>
            <sz val="14"/>
            <color indexed="81"/>
            <rFont val="Tahoma"/>
            <family val="2"/>
          </rPr>
          <t xml:space="preserve">Note:
</t>
        </r>
        <r>
          <rPr>
            <sz val="14"/>
            <color indexed="81"/>
            <rFont val="Tahoma"/>
            <family val="2"/>
          </rPr>
          <t>Some renewable energy projects may be eligible to take advantage of Federal incentives such as the Investment Tax Credit or a cash payment from the Treasury Grant in lieu of the ITC (under Section 1603). 
The CREST model assumes that the ITC or Section 1603 cash grant, as applicable, flows to the project's equity provider in the first commercial operation year - rather than reducing the project's assumed initial installed cost.  The exception to this rule occurs when "carried forward" is selected in the Tax section.  In this case, net operating losses are rolled forward while the tax benefits are used internally by the project.
Information on eligibility for funding opportunities such as these is available online at:
http://dsireusa.org/incentives/incentive.cfm?Incentive_Code=US02F&amp;re=1&amp;ee=1
*See bottom of introduction page for a list of links</t>
        </r>
        <r>
          <rPr>
            <b/>
            <sz val="14"/>
            <color indexed="81"/>
            <rFont val="Tahoma"/>
            <family val="2"/>
          </rPr>
          <t xml:space="preserve">
</t>
        </r>
        <r>
          <rPr>
            <sz val="14"/>
            <color indexed="81"/>
            <rFont val="Tahoma"/>
            <family val="2"/>
          </rPr>
          <t xml:space="preserve">
</t>
        </r>
      </text>
    </comment>
    <comment ref="I26" authorId="2" shapeId="0" xr:uid="{00000000-0006-0000-0100-000029000000}">
      <text>
        <r>
          <rPr>
            <b/>
            <sz val="14"/>
            <color indexed="81"/>
            <rFont val="Tahoma"/>
            <family val="2"/>
          </rPr>
          <t>Note:</t>
        </r>
        <r>
          <rPr>
            <sz val="14"/>
            <color indexed="81"/>
            <rFont val="Tahoma"/>
            <family val="2"/>
          </rPr>
          <t xml:space="preserve">
The "Interconnection" row should account for all project costs relating to connecting to the grid, such as the construction of transmission lines, permitting costs with the utility, and start-up costs. This category will also include the cost of a new substation, if necessary.
Regulators wishing to explore the potential that interconnection costs may be recovered from ratepayers separately can elect to enter zeros in this cost category whenever "Intermediate" or "Complex" is selected.
Input cannot be less than zero.
</t>
        </r>
      </text>
    </comment>
    <comment ref="S26" authorId="0" shapeId="0" xr:uid="{00000000-0006-0000-0100-00002A000000}">
      <text>
        <r>
          <rPr>
            <b/>
            <sz val="14"/>
            <color indexed="81"/>
            <rFont val="Tahoma"/>
            <family val="2"/>
          </rPr>
          <t xml:space="preserve">NOTE:
</t>
        </r>
        <r>
          <rPr>
            <sz val="14"/>
            <color indexed="81"/>
            <rFont val="Tahoma"/>
            <family val="2"/>
          </rPr>
          <t xml:space="preserve">The maximum potential Investment Tax Credit (ITC) benefit is assumed to be 30% of those project costs which are depreciable on the 5-year MACRS schedule.  This 'eligible costs' assumption is purposefully simplified for this analysis.  Project costs depreciated on other bases may also be eligible for the ITC.  Developers should consult with tax counsel for project-specific depreciation and ITC treatment of each project cost.
</t>
        </r>
        <r>
          <rPr>
            <sz val="8"/>
            <color indexed="81"/>
            <rFont val="Tahoma"/>
            <family val="2"/>
          </rPr>
          <t xml:space="preserve">
</t>
        </r>
      </text>
    </comment>
    <comment ref="I27" authorId="2" shapeId="0" xr:uid="{00000000-0006-0000-0100-00002B000000}">
      <text>
        <r>
          <rPr>
            <b/>
            <sz val="14"/>
            <color indexed="81"/>
            <rFont val="Tahoma"/>
            <family val="2"/>
          </rPr>
          <t>Note:</t>
        </r>
        <r>
          <rPr>
            <sz val="8"/>
            <color indexed="81"/>
            <rFont val="Tahoma"/>
            <family val="2"/>
          </rPr>
          <t xml:space="preserve">
</t>
        </r>
        <r>
          <rPr>
            <sz val="14"/>
            <color indexed="81"/>
            <rFont val="Tahoma"/>
            <family val="2"/>
          </rPr>
          <t xml:space="preserve">The "Development Costs" row should include all costs relating to project management, studies, engineering, permitting, contingencies, success fees, and other soft costs not accounted for elsewhere in the "Intermediate" cost breakdown. 
Input cannot be less than zero.
</t>
        </r>
      </text>
    </comment>
    <comment ref="I28" authorId="2" shapeId="0" xr:uid="{00000000-0006-0000-0100-00002C000000}">
      <text>
        <r>
          <rPr>
            <b/>
            <sz val="14"/>
            <color indexed="81"/>
            <rFont val="Tahoma"/>
            <family val="2"/>
          </rPr>
          <t>Note:</t>
        </r>
        <r>
          <rPr>
            <sz val="14"/>
            <color indexed="81"/>
            <rFont val="Tahoma"/>
            <family val="2"/>
          </rPr>
          <t xml:space="preserve">
The "Reserves &amp; Financing Costs" row accounts for all costs relating to financing, such as lender fees, closing costs, legal fees, interest during construction, due diligence costs, and any other relevant, financing relating costs. The model calculates this field by aggregating G22 through G25, G51, G54, G63, G66, Q57 and Q60.
</t>
        </r>
      </text>
    </comment>
    <comment ref="S28" authorId="0" shapeId="0" xr:uid="{00000000-0006-0000-0100-00002D000000}">
      <text>
        <r>
          <rPr>
            <b/>
            <sz val="14"/>
            <color indexed="81"/>
            <rFont val="Tahoma"/>
            <family val="2"/>
          </rPr>
          <t xml:space="preserve">Note:
</t>
        </r>
        <r>
          <rPr>
            <sz val="14"/>
            <color indexed="81"/>
            <rFont val="Tahoma"/>
            <family val="2"/>
          </rPr>
          <t xml:space="preserve">Calculates the dollar value of the Investment Tax Credit or Cash Grant, if applicable.
</t>
        </r>
      </text>
    </comment>
    <comment ref="I29" authorId="2" shapeId="0" xr:uid="{00000000-0006-0000-0100-00002E000000}">
      <text>
        <r>
          <rPr>
            <b/>
            <sz val="14"/>
            <color indexed="81"/>
            <rFont val="Tahoma"/>
            <family val="2"/>
          </rPr>
          <t>Note:</t>
        </r>
        <r>
          <rPr>
            <sz val="14"/>
            <color indexed="81"/>
            <rFont val="Tahoma"/>
            <family val="2"/>
          </rPr>
          <t xml:space="preserve">
If you wish to enter your project costs under the "Complex" format, select Complex from the drop-down menu and use the link to the left to access additional worksheets which provide the opportunitiy to add significant, additional detail on project costs. Once complete, the model will roll up the detailed costs and populate this row with the resultant final project cost. </t>
        </r>
      </text>
    </comment>
    <comment ref="S29" authorId="0" shapeId="0" xr:uid="{00000000-0006-0000-0100-00002F000000}">
      <text>
        <r>
          <rPr>
            <b/>
            <sz val="14"/>
            <color indexed="81"/>
            <rFont val="Tahoma"/>
            <family val="2"/>
          </rPr>
          <t xml:space="preserve">Note: </t>
        </r>
        <r>
          <rPr>
            <sz val="14"/>
            <color indexed="81"/>
            <rFont val="Tahoma"/>
            <family val="2"/>
          </rPr>
          <t xml:space="preserve">
This input cell, the "Performance Based Incentive" or "PBI" is another potential incentive available to some specific projects. The PBI would be separate from a feed-in-tariff, but acts similarly in that it is per unit of production (typically kWh) income to a project.
Some examples of PBIs include the Federal Production Tax Credit (applicable to private projects with tax appetites) and the Federal Renewable Energy Production Incentive (REPI), historically available to some public projects.
</t>
        </r>
      </text>
    </comment>
    <comment ref="I30" authorId="2" shapeId="0" xr:uid="{00000000-0006-0000-0100-000030000000}">
      <text>
        <r>
          <rPr>
            <b/>
            <sz val="14"/>
            <color indexed="81"/>
            <rFont val="Tahoma"/>
            <family val="2"/>
          </rPr>
          <t>Note:</t>
        </r>
        <r>
          <rPr>
            <sz val="14"/>
            <color indexed="81"/>
            <rFont val="Tahoma"/>
            <family val="2"/>
          </rPr>
          <t xml:space="preserve">
The total system cost is a calculation, based on the level of detail selected and the assocated inputs.
</t>
        </r>
      </text>
    </comment>
    <comment ref="S30" authorId="0" shapeId="0" xr:uid="{00000000-0006-0000-0100-000031000000}">
      <text>
        <r>
          <rPr>
            <b/>
            <sz val="14"/>
            <color indexed="81"/>
            <rFont val="Tahoma"/>
            <family val="2"/>
          </rPr>
          <t xml:space="preserve">Note: </t>
        </r>
        <r>
          <rPr>
            <sz val="14"/>
            <color indexed="81"/>
            <rFont val="Tahoma"/>
            <family val="2"/>
          </rPr>
          <t xml:space="preserve">
This cell denotes the value of the Performance Based Incentive applicable to the project's first year of commercial operation. In some cases, this value will need to be calculated external to the model if such PBI is derived from a "base year" and specified inflation index. The following cells can be used to account for inflation and the maximum term of eligibility.
Input cannot be less than zero.
</t>
        </r>
      </text>
    </comment>
    <comment ref="I31" authorId="2" shapeId="0" xr:uid="{00000000-0006-0000-0100-000032000000}">
      <text>
        <r>
          <rPr>
            <b/>
            <sz val="14"/>
            <color indexed="81"/>
            <rFont val="Tahoma"/>
            <family val="2"/>
          </rPr>
          <t>Note:</t>
        </r>
        <r>
          <rPr>
            <sz val="14"/>
            <color indexed="81"/>
            <rFont val="Tahoma"/>
            <family val="2"/>
          </rPr>
          <t xml:space="preserve">
Calculation based on the total system cost in the cell above and the system size reported. 
This value will be site specific but reasonable inputs are likely to fall in the range of $3,000-$12,000</t>
        </r>
        <r>
          <rPr>
            <sz val="8"/>
            <color indexed="81"/>
            <rFont val="Tahoma"/>
            <family val="2"/>
          </rPr>
          <t xml:space="preserve">
</t>
        </r>
      </text>
    </comment>
    <comment ref="S32" authorId="0" shapeId="0" xr:uid="{00000000-0006-0000-0100-000033000000}">
      <text>
        <r>
          <rPr>
            <b/>
            <sz val="14"/>
            <color indexed="81"/>
            <rFont val="Tahoma"/>
            <family val="2"/>
          </rPr>
          <t>Note:</t>
        </r>
        <r>
          <rPr>
            <sz val="14"/>
            <color indexed="81"/>
            <rFont val="Tahoma"/>
            <family val="2"/>
          </rPr>
          <t xml:space="preserve">
This is the length of time that a project would be eligible for any Performance Based Incentives outlined in the cell immediately above. For example, the Federal Renewable Energy Production Incentive and Production Tax Credit incentives are available for the first 10 years of project operation.
Input cannot be less than zero.
</t>
        </r>
      </text>
    </comment>
    <comment ref="F33" authorId="0" shapeId="0" xr:uid="{00000000-0006-0000-0100-000034000000}">
      <text>
        <r>
          <rPr>
            <b/>
            <sz val="8"/>
            <color indexed="81"/>
            <rFont val="Tahoma"/>
            <family val="2"/>
          </rPr>
          <t>See "unit" definitions at the bottom of this worksheet.</t>
        </r>
        <r>
          <rPr>
            <sz val="8"/>
            <color indexed="81"/>
            <rFont val="Tahoma"/>
            <family val="2"/>
          </rPr>
          <t xml:space="preserve">
</t>
        </r>
      </text>
    </comment>
    <comment ref="S33" authorId="0" shapeId="0" xr:uid="{00000000-0006-0000-0100-000035000000}">
      <text>
        <r>
          <rPr>
            <b/>
            <sz val="14"/>
            <color indexed="81"/>
            <rFont val="Tahoma"/>
            <family val="2"/>
          </rPr>
          <t xml:space="preserve">Note:
</t>
        </r>
        <r>
          <rPr>
            <sz val="14"/>
            <color indexed="81"/>
            <rFont val="Tahoma"/>
            <family val="2"/>
          </rPr>
          <t xml:space="preserve">Performance Based Incentives are often adjusted to account for inflation. For example, the Federal Production Tax Credit (PTC) is adjusted each year to account for changes in the GDP IPD index. This cell can be used as a proxy for the inflation that would apply to any PBI incentive entered above.
This input cannot be left blank.
</t>
        </r>
        <r>
          <rPr>
            <sz val="8"/>
            <color indexed="81"/>
            <rFont val="Tahoma"/>
            <family val="2"/>
          </rPr>
          <t xml:space="preserve">
</t>
        </r>
      </text>
    </comment>
    <comment ref="I34" authorId="0" shapeId="0" xr:uid="{00000000-0006-0000-0100-000036000000}">
      <text>
        <r>
          <rPr>
            <b/>
            <sz val="14"/>
            <color indexed="81"/>
            <rFont val="Tahoma"/>
            <family val="2"/>
          </rPr>
          <t>Note:</t>
        </r>
        <r>
          <rPr>
            <sz val="14"/>
            <color indexed="81"/>
            <rFont val="Tahoma"/>
            <family val="2"/>
          </rPr>
          <t xml:space="preserve">
Select either "Simple" or "Intermediate" O&amp;M expense detail using the drop-down menu to the right.
</t>
        </r>
        <r>
          <rPr>
            <sz val="8"/>
            <color indexed="81"/>
            <rFont val="Tahoma"/>
            <family val="2"/>
          </rPr>
          <t xml:space="preserve">
</t>
        </r>
      </text>
    </comment>
    <comment ref="S34" authorId="2" shapeId="0" xr:uid="{00000000-0006-0000-0100-000037000000}">
      <text>
        <r>
          <rPr>
            <b/>
            <sz val="14"/>
            <color indexed="81"/>
            <rFont val="Tahoma"/>
            <family val="2"/>
          </rPr>
          <t xml:space="preserve">Note:
</t>
        </r>
        <r>
          <rPr>
            <sz val="14"/>
            <color indexed="81"/>
            <rFont val="Tahoma"/>
            <family val="2"/>
          </rPr>
          <t xml:space="preserve">Some renewable energy projects may be eligible for other federal grants as well, such as funding from the U.S. Department of Agriculture. This input cell can be used to capture those funding opportunities, some of which are outlined online at:
http://dsireusa.org/incentives/index.cfm?state=us&amp;re=1&amp;EE=1
*See bottom of introduction page for a list of links
Input cannot be less than zero.
</t>
        </r>
      </text>
    </comment>
    <comment ref="I35" authorId="2" shapeId="0" xr:uid="{00000000-0006-0000-0100-000038000000}">
      <text>
        <r>
          <rPr>
            <b/>
            <sz val="14"/>
            <color indexed="81"/>
            <rFont val="Tahoma"/>
            <family val="2"/>
          </rPr>
          <t>Note:</t>
        </r>
        <r>
          <rPr>
            <sz val="14"/>
            <color indexed="81"/>
            <rFont val="Tahoma"/>
            <family val="2"/>
          </rPr>
          <t xml:space="preserve">
If "Simple" is selected in the cell above, then this input should reflect the </t>
        </r>
        <r>
          <rPr>
            <b/>
            <u/>
            <sz val="14"/>
            <color indexed="81"/>
            <rFont val="Tahoma"/>
            <family val="2"/>
          </rPr>
          <t>total</t>
        </r>
        <r>
          <rPr>
            <sz val="14"/>
            <color indexed="81"/>
            <rFont val="Tahoma"/>
            <family val="2"/>
          </rPr>
          <t xml:space="preserve"> expected </t>
        </r>
        <r>
          <rPr>
            <b/>
            <u/>
            <sz val="14"/>
            <color indexed="81"/>
            <rFont val="Tahoma"/>
            <family val="2"/>
          </rPr>
          <t>fixed</t>
        </r>
        <r>
          <rPr>
            <sz val="14"/>
            <color indexed="81"/>
            <rFont val="Tahoma"/>
            <family val="2"/>
          </rPr>
          <t xml:space="preserve"> cost of project operations and maintenance, in $/kW-yr.  This </t>
        </r>
        <r>
          <rPr>
            <u/>
            <sz val="14"/>
            <color indexed="81"/>
            <rFont val="Tahoma"/>
            <family val="2"/>
          </rPr>
          <t>includes</t>
        </r>
        <r>
          <rPr>
            <sz val="14"/>
            <color indexed="81"/>
            <rFont val="Tahoma"/>
            <family val="2"/>
          </rPr>
          <t xml:space="preserve"> the insurance, project management, property tax (or payment in lieu thereof), land lease, and royalty expenses which would have been broken out separately in the "Intermediate" case.  Other labor, spare parts and consumables - such as catalysts and absorbents - should also be included in this estimate.
If the user has obtained O&amp;M expense estimates from a third-party, it is critical to understand which costs have been included.  If the user is not certain that all of the above-listed expenses are included in the fixed cost estimate, then the "Intermediate" approach should be used and these expenses should be entered separately.
If "Intermediate" is selected, then this input should reflect  the expected annual fixed O&amp;M cost before taking into account the additional listed expenses, which are entered below. 
In all cases, fixed O&amp;M would include - among others - the ongoing cost of obtaining daily, weekly or monthly production estimates based on weather and other factors.
Input value must be greater than zero. 
This value will be site specific but reasonable inputs are likely to fall in the range of $125-$300
</t>
        </r>
      </text>
    </comment>
    <comment ref="S35" authorId="0" shapeId="0" xr:uid="{00000000-0006-0000-0100-000039000000}">
      <text>
        <r>
          <rPr>
            <b/>
            <sz val="14"/>
            <color indexed="81"/>
            <rFont val="Tahoma"/>
            <family val="2"/>
          </rPr>
          <t xml:space="preserve">Note:
</t>
        </r>
        <r>
          <rPr>
            <sz val="14"/>
            <color indexed="81"/>
            <rFont val="Tahoma"/>
            <family val="2"/>
          </rPr>
          <t xml:space="preserve">Select here whether federal grants (other than the section 1603 payment in lieu of the ITC/PTC) are treated as taxable income. If no, depreciation basis is reduced. 
</t>
        </r>
      </text>
    </comment>
    <comment ref="I36" authorId="2" shapeId="0" xr:uid="{00000000-0006-0000-0100-00003A000000}">
      <text>
        <r>
          <rPr>
            <b/>
            <sz val="14"/>
            <color indexed="81"/>
            <rFont val="Tahoma"/>
            <family val="2"/>
          </rPr>
          <t>Note:</t>
        </r>
        <r>
          <rPr>
            <sz val="14"/>
            <color indexed="81"/>
            <rFont val="Tahoma"/>
            <family val="2"/>
          </rPr>
          <t xml:space="preserve">
This cell provides the user with the option of accounting for O&amp;M expenses (such as labor and spare parts) which are more easily estimated and modeled on a variable, cents per kWh basis.  
If "Simple" is selected above, then this cell should also take into account variable costs, such as royalties, </t>
        </r>
        <r>
          <rPr>
            <b/>
            <u/>
            <sz val="14"/>
            <color indexed="81"/>
            <rFont val="Tahoma"/>
            <family val="2"/>
          </rPr>
          <t>if</t>
        </r>
        <r>
          <rPr>
            <sz val="14"/>
            <color indexed="81"/>
            <rFont val="Tahoma"/>
            <family val="2"/>
          </rPr>
          <t xml:space="preserve"> such annual expenses are not already accounted for in the fixed cost input above.
Input cannot be less than zero and will vary by project.
</t>
        </r>
      </text>
    </comment>
    <comment ref="I37" authorId="0" shapeId="0" xr:uid="{00000000-0006-0000-0100-00003B000000}">
      <text>
        <r>
          <rPr>
            <b/>
            <sz val="14"/>
            <color indexed="81"/>
            <rFont val="Tahoma"/>
            <family val="2"/>
          </rPr>
          <t>Note:</t>
        </r>
        <r>
          <rPr>
            <sz val="14"/>
            <color indexed="81"/>
            <rFont val="Tahoma"/>
            <family val="2"/>
          </rPr>
          <t xml:space="preserve">
This inflation rate applies to both fixed and variable O&amp;M expense, insurance, and project management costs entered above, if applicable. 
The model allows the user to specify an inflation assumption for an "initial period" and a second inflation assumption "thereafter." These inputs can be used to account for inflation which might be fixed during an initial O&amp;M service contract, but are unknown thereafter.  The final year of the "initial period" is  user-defined (e.g. final year of an O&amp;M service contract). 
The purpose of this feature is also to recognize that inflationary trends may change over time, or that some projects may not expect inflation of O&amp;M expenses for the first several years, but may expect inflation thereafter.
This inflation rate does not apply to PILOT or Royalty costs. Input cannot be less than zero.
</t>
        </r>
      </text>
    </comment>
    <comment ref="P37" authorId="0" shapeId="0" xr:uid="{00000000-0006-0000-0100-00003C000000}">
      <text>
        <r>
          <rPr>
            <b/>
            <sz val="8"/>
            <color indexed="81"/>
            <rFont val="Tahoma"/>
            <family val="2"/>
          </rPr>
          <t>See "unit" definitions at the bottom of this worksheet.</t>
        </r>
        <r>
          <rPr>
            <sz val="8"/>
            <color indexed="81"/>
            <rFont val="Tahoma"/>
            <family val="2"/>
          </rPr>
          <t xml:space="preserve">
</t>
        </r>
      </text>
    </comment>
    <comment ref="I38" authorId="0" shapeId="0" xr:uid="{00000000-0006-0000-0100-00003D000000}">
      <text>
        <r>
          <rPr>
            <b/>
            <sz val="14"/>
            <color indexed="81"/>
            <rFont val="Tahoma"/>
            <family val="2"/>
          </rPr>
          <t xml:space="preserve">Note:
</t>
        </r>
        <r>
          <rPr>
            <sz val="14"/>
            <color indexed="81"/>
            <rFont val="Tahoma"/>
            <family val="2"/>
          </rPr>
          <t xml:space="preserve">This feature allows the user to assume that the rate at which expenses change over time is not constant. This cell provides the year in which the first inflation period ends.
Input cannot be less than zero.
</t>
        </r>
      </text>
    </comment>
    <comment ref="S38" authorId="2" shapeId="0" xr:uid="{00000000-0006-0000-0100-00003E000000}">
      <text>
        <r>
          <rPr>
            <b/>
            <sz val="14"/>
            <color indexed="81"/>
            <rFont val="Tahoma"/>
            <family val="2"/>
          </rPr>
          <t xml:space="preserve">Note:
</t>
        </r>
        <r>
          <rPr>
            <sz val="14"/>
            <color indexed="81"/>
            <rFont val="Tahoma"/>
            <family val="2"/>
          </rPr>
          <t>This drop-down input cell allows the user to specify whether state, utility, or other local incentives are cost-based (e.g. an investment tax credit) or performance-based (e.g. a PTC, Renewable Energy Credit (REC) or other cash payment). If no state incentive is available or useable by the modeled project, the user will select "Neither." The magnitude and terms of these incentives are set in the cells below.
For more information, a useful resource for researching federal and state incentives online is:  
http://dsireusa.org/
*See bottom of introduction page for a list of links</t>
        </r>
      </text>
    </comment>
    <comment ref="I39" authorId="0" shapeId="0" xr:uid="{00000000-0006-0000-0100-00003F000000}">
      <text>
        <r>
          <rPr>
            <b/>
            <sz val="14"/>
            <color indexed="81"/>
            <rFont val="Tahoma"/>
            <family val="2"/>
          </rPr>
          <t xml:space="preserve">Note:
</t>
        </r>
        <r>
          <rPr>
            <sz val="14"/>
            <color indexed="81"/>
            <rFont val="Tahoma"/>
            <family val="2"/>
          </rPr>
          <t xml:space="preserve">This cell provides the inflation rate for the remainder of the project's useful life.
Input must be greater than zero.
</t>
        </r>
      </text>
    </comment>
    <comment ref="S39" authorId="0" shapeId="0" xr:uid="{00000000-0006-0000-0100-000040000000}">
      <text>
        <r>
          <rPr>
            <b/>
            <sz val="14"/>
            <color indexed="81"/>
            <rFont val="Tahoma"/>
            <family val="2"/>
          </rPr>
          <t xml:space="preserve">NOTE:
</t>
        </r>
        <r>
          <rPr>
            <sz val="14"/>
            <color indexed="81"/>
            <rFont val="Tahoma"/>
            <family val="2"/>
          </rPr>
          <t>The maximum potential Investment Tax Credit (ITC) benefit is assumed to be 30% of those project costs which are depreciable on the 5-year MACRS schedule.
Note that the state investment tax credit can only be applied to state-specific income tax liability.</t>
        </r>
      </text>
    </comment>
    <comment ref="I40" authorId="2" shapeId="0" xr:uid="{00000000-0006-0000-0100-000041000000}">
      <text>
        <r>
          <rPr>
            <b/>
            <sz val="14"/>
            <color indexed="81"/>
            <rFont val="Tahoma"/>
            <family val="2"/>
          </rPr>
          <t xml:space="preserve">Note:
</t>
        </r>
        <r>
          <rPr>
            <sz val="14"/>
            <color indexed="81"/>
            <rFont val="Tahoma"/>
            <family val="2"/>
          </rPr>
          <t xml:space="preserve">Project owners, or hosts, are required to carry insurance. This input accounts for the estimated cost of insuring the modeled power generating facility.
Input cannot be less than zero.
This value will be site specific but reasonable inputs are likely to fall in the range of 0%-2%
</t>
        </r>
      </text>
    </comment>
    <comment ref="I41" authorId="0" shapeId="0" xr:uid="{00000000-0006-0000-0100-000042000000}">
      <text>
        <r>
          <rPr>
            <b/>
            <sz val="14"/>
            <color indexed="81"/>
            <rFont val="Tahoma"/>
            <family val="2"/>
          </rPr>
          <t xml:space="preserve">Note:
</t>
        </r>
        <r>
          <rPr>
            <sz val="14"/>
            <color indexed="81"/>
            <rFont val="Tahoma"/>
            <family val="2"/>
          </rPr>
          <t xml:space="preserve">This cell calculates the resulting dollar value cost of insurance based on the input above and the project installed cost (net of financing costs).  It is provided simply as a reference for the user.
</t>
        </r>
        <r>
          <rPr>
            <sz val="8"/>
            <color indexed="81"/>
            <rFont val="Tahoma"/>
            <family val="2"/>
          </rPr>
          <t xml:space="preserve">
</t>
        </r>
      </text>
    </comment>
    <comment ref="S41" authorId="0" shapeId="0" xr:uid="{00000000-0006-0000-0100-000043000000}">
      <text>
        <r>
          <rPr>
            <b/>
            <sz val="14"/>
            <color indexed="81"/>
            <rFont val="Tahoma"/>
            <family val="2"/>
          </rPr>
          <t xml:space="preserve">Note:
</t>
        </r>
        <r>
          <rPr>
            <sz val="14"/>
            <color indexed="81"/>
            <rFont val="Tahoma"/>
            <family val="2"/>
          </rPr>
          <t>Specifies whether the available ITC is realized in a single year or over multiple years. This input will be specified by state-specific law or regulation.
A good resource on available state incentives is:  
http://dsireusa.org/
*See bottom of introduction page for a list of links
Input must be greater than 1 and less than the Project Useful Life.</t>
        </r>
      </text>
    </comment>
    <comment ref="I42" authorId="2" shapeId="0" xr:uid="{00000000-0006-0000-0100-000044000000}">
      <text>
        <r>
          <rPr>
            <b/>
            <sz val="14"/>
            <color indexed="81"/>
            <rFont val="Tahoma"/>
            <family val="2"/>
          </rPr>
          <t>Note:</t>
        </r>
        <r>
          <rPr>
            <sz val="14"/>
            <color indexed="81"/>
            <rFont val="Tahoma"/>
            <family val="2"/>
          </rPr>
          <t xml:space="preserve">
"Project Management" accounts for the cost of staff time related to managing the project's Power Purchase Agreements, grid integration, and periodic reporting to the system operator and policymakers.  
Input cannot be less than zero.
This value will be site specific but reasonable inputs are likely to fall in the range of $0-$150,000
</t>
        </r>
      </text>
    </comment>
    <comment ref="S42" authorId="0" shapeId="0" xr:uid="{00000000-0006-0000-0100-000045000000}">
      <text>
        <r>
          <rPr>
            <b/>
            <sz val="14"/>
            <color indexed="81"/>
            <rFont val="Tahoma"/>
            <family val="2"/>
          </rPr>
          <t xml:space="preserve">Note:
</t>
        </r>
        <r>
          <rPr>
            <sz val="14"/>
            <color indexed="81"/>
            <rFont val="Tahoma"/>
            <family val="2"/>
          </rPr>
          <t xml:space="preserve">Calculates the dollar value of the State Investment Tax Credit, if applicable.
</t>
        </r>
      </text>
    </comment>
    <comment ref="I43" authorId="2" shapeId="0" xr:uid="{00000000-0006-0000-0100-000046000000}">
      <text>
        <r>
          <rPr>
            <b/>
            <sz val="14"/>
            <color indexed="81"/>
            <rFont val="Tahoma"/>
            <family val="2"/>
          </rPr>
          <t>Note:</t>
        </r>
        <r>
          <rPr>
            <sz val="14"/>
            <color indexed="81"/>
            <rFont val="Tahoma"/>
            <family val="2"/>
          </rPr>
          <t xml:space="preserve">
This value will be market-based and will change both with time and with location.
This input is expressed $/MMBtu.
Input cannot be less than zero.
</t>
        </r>
      </text>
    </comment>
    <comment ref="S43" authorId="0" shapeId="0" xr:uid="{00000000-0006-0000-0100-000047000000}">
      <text>
        <r>
          <rPr>
            <b/>
            <sz val="14"/>
            <color indexed="81"/>
            <rFont val="Tahoma"/>
            <family val="2"/>
          </rPr>
          <t xml:space="preserve">Note: </t>
        </r>
        <r>
          <rPr>
            <sz val="14"/>
            <color indexed="81"/>
            <rFont val="Tahoma"/>
            <family val="2"/>
          </rPr>
          <t xml:space="preserve">
This input cell, the "Performance Based Incentive" or "PBI" is another potential incentive available to some specific projects. The PBI would be separate from a feed-in-tariff, but acts similarly in that it is per unit of production (typically kWh) income to a project.
Some examples of PBIs include the Federal Production Tax Credit (applicable to private projects with tax appetites) and the Federal Renewable Energy Production Incentive (REPI), historically available to some public projects.
</t>
        </r>
      </text>
    </comment>
    <comment ref="I44" authorId="0" shapeId="0" xr:uid="{00000000-0006-0000-0100-000048000000}">
      <text>
        <r>
          <rPr>
            <b/>
            <sz val="14"/>
            <color indexed="81"/>
            <rFont val="Tahoma"/>
            <family val="2"/>
          </rPr>
          <t xml:space="preserve">Note:
</t>
        </r>
        <r>
          <rPr>
            <sz val="14"/>
            <color indexed="81"/>
            <rFont val="Tahoma"/>
            <family val="2"/>
          </rPr>
          <t xml:space="preserve">This cell provides the inflation rate for the remainder of the project's useful life.
Input must be greater than zero.
</t>
        </r>
      </text>
    </comment>
    <comment ref="S44" authorId="0" shapeId="0" xr:uid="{00000000-0006-0000-0100-000049000000}">
      <text>
        <r>
          <rPr>
            <b/>
            <sz val="14"/>
            <color indexed="81"/>
            <rFont val="Tahoma"/>
            <family val="2"/>
          </rPr>
          <t xml:space="preserve">Note:
</t>
        </r>
        <r>
          <rPr>
            <sz val="14"/>
            <color indexed="81"/>
            <rFont val="Tahoma"/>
            <family val="2"/>
          </rPr>
          <t xml:space="preserve">Enter here the annual dollar value ("cap") of any state-specific production incentive.
</t>
        </r>
        <r>
          <rPr>
            <b/>
            <sz val="16"/>
            <color indexed="81"/>
            <rFont val="Tahoma"/>
            <family val="2"/>
          </rPr>
          <t>If no cap exists, enter zero.</t>
        </r>
        <r>
          <rPr>
            <sz val="14"/>
            <color indexed="81"/>
            <rFont val="Tahoma"/>
            <family val="2"/>
          </rPr>
          <t xml:space="preserve">
Input cannot be less than zero.
</t>
        </r>
      </text>
    </comment>
    <comment ref="I45" authorId="2" shapeId="0" xr:uid="{00000000-0006-0000-0100-00004A000000}">
      <text>
        <r>
          <rPr>
            <b/>
            <sz val="14"/>
            <color indexed="81"/>
            <rFont val="Tahoma"/>
            <family val="2"/>
          </rPr>
          <t xml:space="preserve">Note:
</t>
        </r>
        <r>
          <rPr>
            <sz val="14"/>
            <color indexed="81"/>
            <rFont val="Tahoma"/>
            <family val="2"/>
          </rPr>
          <t>"Property Tax or PILOT" accounts for costs associated with any local taxes incurred by the project. Many states offer tax exemptions for renewable energy systems; to check your local applicability, please visit: http://dsireusa.org/ 
This line can also be used to account for any PILOTs or Payment in Leiu of Taxes. Developers often negotiate a PILOT with the local community to secure a fixed, predictable payment that serves both parties appropriately. This model allows the user to input a year-one Property Tax or PILOT value along with an annual property tax adjsutment factor (see next cell down). As a result, taxes can be modeled as flat, increasing, or decreasing annually depending on the value entered in the adjustment factor cell below.
Input cannot be less than zero.
This value will be site specific.</t>
        </r>
      </text>
    </comment>
    <comment ref="S45" authorId="0" shapeId="0" xr:uid="{00000000-0006-0000-0100-00004B000000}">
      <text>
        <r>
          <rPr>
            <b/>
            <sz val="14"/>
            <color indexed="81"/>
            <rFont val="Tahoma"/>
            <family val="2"/>
          </rPr>
          <t xml:space="preserve">Note:
</t>
        </r>
        <r>
          <rPr>
            <sz val="14"/>
            <color indexed="81"/>
            <rFont val="Tahoma"/>
            <family val="2"/>
          </rPr>
          <t xml:space="preserve">Impacts tax treatment of PBI if owner is a taxable entity.
</t>
        </r>
      </text>
    </comment>
    <comment ref="I46" authorId="2" shapeId="0" xr:uid="{00000000-0006-0000-0100-00004C000000}">
      <text>
        <r>
          <rPr>
            <b/>
            <sz val="14"/>
            <color indexed="81"/>
            <rFont val="Tahoma"/>
            <family val="2"/>
          </rPr>
          <t xml:space="preserve">Note:
</t>
        </r>
        <r>
          <rPr>
            <sz val="14"/>
            <color indexed="81"/>
            <rFont val="Tahoma"/>
            <family val="2"/>
          </rPr>
          <t xml:space="preserve">The Annual Property Tax Adjustment Factor allows the user to specify whether the Year One tax (or PILOT) value will remain fixed and flat, will decrease (a negative percentage value entered in this cell) or increase (a positive percentage value entered in this cell) over time.  </t>
        </r>
        <r>
          <rPr>
            <sz val="8"/>
            <color indexed="81"/>
            <rFont val="Tahoma"/>
            <family val="2"/>
          </rPr>
          <t xml:space="preserve">
</t>
        </r>
      </text>
    </comment>
    <comment ref="S46" authorId="0" shapeId="0" xr:uid="{00000000-0006-0000-0100-00004D000000}">
      <text>
        <r>
          <rPr>
            <b/>
            <sz val="14"/>
            <color indexed="81"/>
            <rFont val="Tahoma"/>
            <family val="2"/>
          </rPr>
          <t xml:space="preserve">Note: </t>
        </r>
        <r>
          <rPr>
            <sz val="14"/>
            <color indexed="81"/>
            <rFont val="Tahoma"/>
            <family val="2"/>
          </rPr>
          <t xml:space="preserve">
This cell denotes the value of the Performance Based Incentive applicable to the project's first year of commercial operation. In some cases, this value will need to be calculated external to the model if such PBI is derived from a "base year" and specified inflation index. The following cells can be used to account for inflation and the maximum term of eligibility.
Input cannot be less than zero.
</t>
        </r>
      </text>
    </comment>
    <comment ref="I47" authorId="2" shapeId="0" xr:uid="{00000000-0006-0000-0100-00004E000000}">
      <text>
        <r>
          <rPr>
            <b/>
            <sz val="14"/>
            <color indexed="81"/>
            <rFont val="Tahoma"/>
            <family val="2"/>
          </rPr>
          <t xml:space="preserve">Note:
</t>
        </r>
        <r>
          <rPr>
            <sz val="14"/>
            <color indexed="81"/>
            <rFont val="Tahoma"/>
            <family val="2"/>
          </rPr>
          <t xml:space="preserve">The Land Lease input represents </t>
        </r>
        <r>
          <rPr>
            <b/>
            <u/>
            <sz val="14"/>
            <color indexed="81"/>
            <rFont val="Tahoma"/>
            <family val="2"/>
          </rPr>
          <t>fixed payments</t>
        </r>
        <r>
          <rPr>
            <sz val="14"/>
            <color indexed="81"/>
            <rFont val="Tahoma"/>
            <family val="2"/>
          </rPr>
          <t xml:space="preserve"> to the site host (and possibly other affected parties) for the use of the land on which the project is located.  
Variable royalty payments may be applied in addition to, or in lieu of, the land lease payment through the "Royalties" input below, if applicable.  
Input cannot be less than zero.
This value will be site specific.</t>
        </r>
      </text>
    </comment>
    <comment ref="I48" authorId="2" shapeId="0" xr:uid="{00000000-0006-0000-0100-00004F000000}">
      <text>
        <r>
          <rPr>
            <b/>
            <sz val="14"/>
            <color indexed="81"/>
            <rFont val="Tahoma"/>
            <family val="2"/>
          </rPr>
          <t xml:space="preserve">Note:
</t>
        </r>
        <r>
          <rPr>
            <sz val="14"/>
            <color indexed="81"/>
            <rFont val="Tahoma"/>
            <family val="2"/>
          </rPr>
          <t xml:space="preserve">The royalties input accounts for </t>
        </r>
        <r>
          <rPr>
            <b/>
            <u/>
            <sz val="14"/>
            <color indexed="81"/>
            <rFont val="Tahoma"/>
            <family val="2"/>
          </rPr>
          <t>variable</t>
        </r>
        <r>
          <rPr>
            <sz val="14"/>
            <color indexed="81"/>
            <rFont val="Tahoma"/>
            <family val="2"/>
          </rPr>
          <t xml:space="preserve"> payments to site hosts, neighbors, partners, or other parties which may have a stake in the project and which are NOT covered by the fixed "Land Lease" payment. 
Fixed payments may be applied in addition to, or in lieu of, the royalty payment through the "Land Lease" input above, if applicable.  
</t>
        </r>
        <r>
          <rPr>
            <b/>
            <sz val="14"/>
            <color indexed="81"/>
            <rFont val="Tahoma"/>
            <family val="2"/>
          </rPr>
          <t>Inflation is NOT applied to this input</t>
        </r>
        <r>
          <rPr>
            <sz val="14"/>
            <color indexed="81"/>
            <rFont val="Tahoma"/>
            <family val="2"/>
          </rPr>
          <t>. However, if tariff escalation is selected, then the assumed royalty payment will increase over time since it is calculated as a function of revenue over time.
If the modeled project's royalty payments are not the same over time, then an average annual royalty payment should be calculated externally and entered in this cell. 
This input cannot be less than zero.
This value will be site specific and is typically negotiable.</t>
        </r>
      </text>
    </comment>
    <comment ref="S48" authorId="0" shapeId="0" xr:uid="{00000000-0006-0000-0100-000050000000}">
      <text>
        <r>
          <rPr>
            <b/>
            <sz val="14"/>
            <color indexed="81"/>
            <rFont val="Tahoma"/>
            <family val="2"/>
          </rPr>
          <t>Note:</t>
        </r>
        <r>
          <rPr>
            <sz val="14"/>
            <color indexed="81"/>
            <rFont val="Tahoma"/>
            <family val="2"/>
          </rPr>
          <t xml:space="preserve">
This is the length of time that a project would be eligible for any Performance Based Incentives outlined in the cell immediately above. For example, the Federal Renewable Energy Production Incentive and Production Tax Credit incentives are available for the first 10 years of project operation.
Input cannot be less than zero.
</t>
        </r>
      </text>
    </comment>
    <comment ref="I49" authorId="0" shapeId="0" xr:uid="{00000000-0006-0000-0100-000051000000}">
      <text>
        <r>
          <rPr>
            <b/>
            <sz val="14"/>
            <color indexed="81"/>
            <rFont val="Tahoma"/>
            <family val="2"/>
          </rPr>
          <t xml:space="preserve">Note:
</t>
        </r>
        <r>
          <rPr>
            <sz val="14"/>
            <color indexed="81"/>
            <rFont val="Tahoma"/>
            <family val="2"/>
          </rPr>
          <t xml:space="preserve">This cell calculates the resulting dollar value cost of royalties paid to landowners or other stakeholders based on the input above and project revenue.  It is provided simply as a reference for the user.
</t>
        </r>
        <r>
          <rPr>
            <sz val="8"/>
            <color indexed="81"/>
            <rFont val="Tahoma"/>
            <family val="2"/>
          </rPr>
          <t xml:space="preserve">
</t>
        </r>
      </text>
    </comment>
    <comment ref="S49" authorId="0" shapeId="0" xr:uid="{00000000-0006-0000-0100-000052000000}">
      <text>
        <r>
          <rPr>
            <b/>
            <sz val="14"/>
            <color indexed="81"/>
            <rFont val="Tahoma"/>
            <family val="2"/>
          </rPr>
          <t xml:space="preserve">Note:
</t>
        </r>
        <r>
          <rPr>
            <sz val="14"/>
            <color indexed="81"/>
            <rFont val="Tahoma"/>
            <family val="2"/>
          </rPr>
          <t xml:space="preserve">Performance Based Incentives are often adjusted to account for inflation. For example, the Federal Production Tax Credit (PTC) is adjusted each year to account for changes in the GDP IPD index. This cell can be used as a proxy for the inflation that would apply to any PBI incentive entered above.
This input cannot be left blank.
</t>
        </r>
      </text>
    </comment>
    <comment ref="S50" authorId="0" shapeId="0" xr:uid="{00000000-0006-0000-0100-000053000000}">
      <text>
        <r>
          <rPr>
            <b/>
            <sz val="14"/>
            <color indexed="81"/>
            <rFont val="Tahoma"/>
            <family val="2"/>
          </rPr>
          <t xml:space="preserve">Note:
</t>
        </r>
        <r>
          <rPr>
            <sz val="14"/>
            <color indexed="81"/>
            <rFont val="Tahoma"/>
            <family val="2"/>
          </rPr>
          <t xml:space="preserve">Include here the dollar per Watt value of any state-specific rebates or cash grants.
Input cannot be less than zero.
</t>
        </r>
      </text>
    </comment>
    <comment ref="F51" authorId="0" shapeId="0" xr:uid="{00000000-0006-0000-0100-000054000000}">
      <text>
        <r>
          <rPr>
            <b/>
            <sz val="8"/>
            <color indexed="81"/>
            <rFont val="Tahoma"/>
            <family val="2"/>
          </rPr>
          <t>See "unit" definitions at the bottom of this worksheet.</t>
        </r>
        <r>
          <rPr>
            <sz val="8"/>
            <color indexed="81"/>
            <rFont val="Tahoma"/>
            <family val="2"/>
          </rPr>
          <t xml:space="preserve">
</t>
        </r>
      </text>
    </comment>
    <comment ref="S51" authorId="0" shapeId="0" xr:uid="{00000000-0006-0000-0100-000055000000}">
      <text>
        <r>
          <rPr>
            <b/>
            <sz val="14"/>
            <color indexed="81"/>
            <rFont val="Tahoma"/>
            <family val="2"/>
          </rPr>
          <t xml:space="preserve">Note:
</t>
        </r>
        <r>
          <rPr>
            <sz val="14"/>
            <color indexed="81"/>
            <rFont val="Tahoma"/>
            <family val="2"/>
          </rPr>
          <t xml:space="preserve">Enter here the maximum dollar value ("cap") of any state-specific rebate or grant.
If no cap exists, enter zero.
Input cannot be less than zero.
</t>
        </r>
      </text>
    </comment>
    <comment ref="I52" authorId="0" shapeId="0" xr:uid="{00000000-0006-0000-0100-000056000000}">
      <text>
        <r>
          <rPr>
            <b/>
            <sz val="14"/>
            <color indexed="81"/>
            <rFont val="Tahoma"/>
            <family val="2"/>
          </rPr>
          <t xml:space="preserve">Note:
</t>
        </r>
        <r>
          <rPr>
            <sz val="14"/>
            <color indexed="81"/>
            <rFont val="Tahoma"/>
            <family val="2"/>
          </rPr>
          <t>The # of months from construction start to commercial operation. This input cannot be less than zero.
This value will be site specific but reasonable inputs are likely to fall in the range of 6-12</t>
        </r>
      </text>
    </comment>
    <comment ref="S52" authorId="0" shapeId="0" xr:uid="{00000000-0006-0000-0100-000057000000}">
      <text>
        <r>
          <rPr>
            <b/>
            <sz val="14"/>
            <color indexed="81"/>
            <rFont val="Tahoma"/>
            <family val="2"/>
          </rPr>
          <t xml:space="preserve">Note:
</t>
        </r>
        <r>
          <rPr>
            <sz val="14"/>
            <color indexed="81"/>
            <rFont val="Tahoma"/>
            <family val="2"/>
          </rPr>
          <t xml:space="preserve">Select here whether state grants are treated as taxable income.  If no, depreciation basis is reduced. 
</t>
        </r>
      </text>
    </comment>
    <comment ref="I53" authorId="0" shapeId="0" xr:uid="{00000000-0006-0000-0100-000058000000}">
      <text>
        <r>
          <rPr>
            <b/>
            <sz val="14"/>
            <color indexed="81"/>
            <rFont val="Tahoma"/>
            <family val="2"/>
          </rPr>
          <t xml:space="preserve">Note:
</t>
        </r>
        <r>
          <rPr>
            <sz val="14"/>
            <color indexed="81"/>
            <rFont val="Tahoma"/>
            <family val="2"/>
          </rPr>
          <t>The annual interest rate on construction debt. This input cannot be less than zero.
This value will be site specific but reasonable inputs are likely to fall in the range of 3-10%</t>
        </r>
      </text>
    </comment>
    <comment ref="I54" authorId="0" shapeId="0" xr:uid="{00000000-0006-0000-0100-000059000000}">
      <text>
        <r>
          <rPr>
            <b/>
            <sz val="14"/>
            <color indexed="81"/>
            <rFont val="Tahoma"/>
            <family val="2"/>
          </rPr>
          <t xml:space="preserve">Note:
</t>
        </r>
        <r>
          <rPr>
            <sz val="14"/>
            <color indexed="81"/>
            <rFont val="Tahoma"/>
            <family val="2"/>
          </rPr>
          <t xml:space="preserve">A calculated value showing the interest accrued during the construction period. Rather than requiring the user to define a detailed construction draw-down schedule, this calculation makes the simplifying assumption that the total project cost is spent in equal parts in each month of the construction period.
IDC is calculated on total project cost, assuming that any grants are collected after construction financing is repaid at time of permanent financing.
This cell is only used with the "Intermediate" and "Complex" capital cost options. The "Simple" capital cost option assumes that all project costs, including IDC, are included in the single input.
</t>
        </r>
      </text>
    </comment>
    <comment ref="S55" authorId="0" shapeId="0" xr:uid="{00000000-0006-0000-0100-00005A000000}">
      <text>
        <r>
          <rPr>
            <b/>
            <sz val="14"/>
            <color indexed="81"/>
            <rFont val="Tahoma"/>
            <family val="2"/>
          </rPr>
          <t>Note:</t>
        </r>
        <r>
          <rPr>
            <sz val="14"/>
            <color indexed="81"/>
            <rFont val="Tahoma"/>
            <family val="2"/>
          </rPr>
          <t xml:space="preserve">
These input cells allow for assumptions regarding the replacement of major equipment components, which are capitalized and depreciated rather than expensed as annual O&amp;M.   
Caution: Modelers should take into account the assumed contract duration and the project's useful life when considering whether to assume equipment replacements in the latter years of this analysis. 
Inputs should be greater than zero and less than the Project Useful Life.
</t>
        </r>
      </text>
    </comment>
    <comment ref="F56" authorId="0" shapeId="0" xr:uid="{00000000-0006-0000-0100-00005B000000}">
      <text>
        <r>
          <rPr>
            <b/>
            <sz val="8"/>
            <color indexed="81"/>
            <rFont val="Tahoma"/>
            <family val="2"/>
          </rPr>
          <t>See "unit" definitions at the bottom of this worksheet.</t>
        </r>
        <r>
          <rPr>
            <sz val="8"/>
            <color indexed="81"/>
            <rFont val="Tahoma"/>
            <family val="2"/>
          </rPr>
          <t xml:space="preserve">
</t>
        </r>
      </text>
    </comment>
    <comment ref="S56" authorId="0" shapeId="0" xr:uid="{00000000-0006-0000-0100-00005C000000}">
      <text>
        <r>
          <rPr>
            <b/>
            <sz val="14"/>
            <color indexed="81"/>
            <rFont val="Tahoma"/>
            <family val="2"/>
          </rPr>
          <t xml:space="preserve">Note:
</t>
        </r>
        <r>
          <rPr>
            <sz val="14"/>
            <color indexed="81"/>
            <rFont val="Tahoma"/>
            <family val="2"/>
          </rPr>
          <t>The cost of (or even need for) major equipment replacements is difficult to assess, given that costs are attributable to an item that would be purchased many years from commercial operation. The input placed in this cell must be in nominal dollars -- reflecting the expected cost of the equipment in the year replaced. The model then reserves funds sufficient to pay for this replacement from operations in equal amounts until the year in which the replacement occurs.
Note: This model assumes that future equipment purchases will be depreciated on 5-yr MACRS basis.
Input must be greater than or equal to zero.</t>
        </r>
      </text>
    </comment>
    <comment ref="I57" authorId="0" shapeId="0" xr:uid="{00000000-0006-0000-0100-00005D000000}">
      <text>
        <r>
          <rPr>
            <b/>
            <sz val="14"/>
            <color indexed="81"/>
            <rFont val="Tahoma"/>
            <family val="2"/>
          </rPr>
          <t xml:space="preserve">Note:
</t>
        </r>
        <r>
          <rPr>
            <sz val="14"/>
            <color indexed="81"/>
            <rFont val="Tahoma"/>
            <family val="2"/>
          </rPr>
          <t xml:space="preserve">For ease of use and comprehension by a wide range of stakeholders, this model allows the user to define the capital structure, and relies on mortgage-style amortization of the project debt. The "% Debt" input specifies the portion of funds borrowed, as a percentage of the total "hard costs." Equity is assumed to fund the remaining hard costs PLUS all "soft costs" (e.g. transaction costs and funding of initial reserve accounts, if applicable).  This input cannot be less than zero.
Where maximum sustainable leverage is desired, the user must manually adjust the "% Debt" entry upward to the highest point </t>
        </r>
        <r>
          <rPr>
            <b/>
            <i/>
            <sz val="14"/>
            <color indexed="81"/>
            <rFont val="Tahoma"/>
            <family val="2"/>
          </rPr>
          <t>before</t>
        </r>
        <r>
          <rPr>
            <sz val="14"/>
            <color indexed="81"/>
            <rFont val="Tahoma"/>
            <family val="2"/>
          </rPr>
          <t xml:space="preserve"> the DSCRs no longer "Pass."
If a specific % Debt is desired, </t>
        </r>
        <r>
          <rPr>
            <u/>
            <sz val="14"/>
            <color indexed="81"/>
            <rFont val="Tahoma"/>
            <family val="2"/>
          </rPr>
          <t>and such % is higher than the maximum sustainable debt</t>
        </r>
        <r>
          <rPr>
            <sz val="14"/>
            <color indexed="81"/>
            <rFont val="Tahoma"/>
            <family val="2"/>
          </rPr>
          <t xml:space="preserve"> (such that it causes the DSCR to "Fail"), then the user must define the % Debt and then manually adjust the "Target After-Tax Equity IRR" upward until the DSCRs are met.  The user should </t>
        </r>
        <r>
          <rPr>
            <b/>
            <sz val="14"/>
            <color indexed="81"/>
            <rFont val="Tahoma"/>
            <family val="2"/>
          </rPr>
          <t>take note</t>
        </r>
        <r>
          <rPr>
            <sz val="14"/>
            <color indexed="81"/>
            <rFont val="Tahoma"/>
            <family val="2"/>
          </rPr>
          <t xml:space="preserve"> that when leverage becomes very high (and the corresponding equity contribution low), the "Target After-Tax Equity IRR" will need to be adjusted to levels exceeding typical commercial returns </t>
        </r>
        <r>
          <rPr>
            <u/>
            <sz val="14"/>
            <color indexed="81"/>
            <rFont val="Tahoma"/>
            <family val="2"/>
          </rPr>
          <t>in order to maintain the DSCR ratio</t>
        </r>
        <r>
          <rPr>
            <sz val="14"/>
            <color indexed="81"/>
            <rFont val="Tahoma"/>
            <family val="2"/>
          </rPr>
          <t xml:space="preserve"> on such high debt levels.  For this reason, it is not recommended that users solve for the Cost of Energy (COE) associated with a % Debt that is beyond the maximum sustainable leverage.
If a project is expected to be funded either by a pool of corporate funds or back-leveraged after commercial operation, the user might elect to enter 0% in the "% Debt" cell and enter a weighted average cost of capital (WACC) in the "Target After-Tax Equity IRR" cell.
This value will be site specific and will fall somewhere between 0 and 100%.
</t>
        </r>
      </text>
    </comment>
    <comment ref="S57" authorId="0" shapeId="0" xr:uid="{00000000-0006-0000-0100-00005E000000}">
      <text>
        <r>
          <rPr>
            <b/>
            <sz val="14"/>
            <color indexed="81"/>
            <rFont val="Tahoma"/>
            <family val="2"/>
          </rPr>
          <t>Note:</t>
        </r>
        <r>
          <rPr>
            <sz val="14"/>
            <color indexed="81"/>
            <rFont val="Tahoma"/>
            <family val="2"/>
          </rPr>
          <t xml:space="preserve">
These input cells allow for assumptions regarding the replacement of major equipment components, which are capitalized and depreciated rather than expensed as annual O&amp;M.   
Caution: Modelers should take into account the assumed contract duration and the project's useful life when considering whether to assume equipment replacements in the latter years of this analysis. 
Inputs should be greater than zero and less than the Project Useful Life.
</t>
        </r>
      </text>
    </comment>
    <comment ref="I58" authorId="2" shapeId="0" xr:uid="{00000000-0006-0000-0100-00005F000000}">
      <text>
        <r>
          <rPr>
            <b/>
            <sz val="14"/>
            <color indexed="81"/>
            <rFont val="Tahoma"/>
            <family val="2"/>
          </rPr>
          <t>Note:</t>
        </r>
        <r>
          <rPr>
            <sz val="14"/>
            <color indexed="81"/>
            <rFont val="Tahoma"/>
            <family val="2"/>
          </rPr>
          <t xml:space="preserve">
Debt "tenor" (also casually referred to as "term"), is the number of years in the debt repayment schedule.   
Caution: If the project will utilize debt, this value must be greater than zero but less than or equal to the total FIT contract duration.
This value will be site specific but reasonable inputs are likely to fall in the range of 10-20
</t>
        </r>
      </text>
    </comment>
    <comment ref="S58" authorId="0" shapeId="0" xr:uid="{00000000-0006-0000-0100-000060000000}">
      <text>
        <r>
          <rPr>
            <b/>
            <sz val="14"/>
            <color indexed="81"/>
            <rFont val="Tahoma"/>
            <family val="2"/>
          </rPr>
          <t xml:space="preserve">Note:
</t>
        </r>
        <r>
          <rPr>
            <sz val="14"/>
            <color indexed="81"/>
            <rFont val="Tahoma"/>
            <family val="2"/>
          </rPr>
          <t>The cost of (or even need for) major equipment replacements is difficult to assess, given that costs are attributable to an item that would be purchased many years from commercial operation. The input placed in this cell must be in nominal dollars -- reflecting the expected cost of the equipment in the year replaced. The model then reserves funds sufficient to pay for this replacement from operations in equal amounts until the year in which the replacement occurs.
Note: This model assumes that future equipment purchases will be depreciated on 5-yr MACRS basis.
Input must be greater than or equal to zero.</t>
        </r>
      </text>
    </comment>
    <comment ref="I59" authorId="2" shapeId="0" xr:uid="{00000000-0006-0000-0100-000061000000}">
      <text>
        <r>
          <rPr>
            <b/>
            <sz val="14"/>
            <color indexed="81"/>
            <rFont val="Tahoma"/>
            <family val="2"/>
          </rPr>
          <t>Note:</t>
        </r>
        <r>
          <rPr>
            <sz val="14"/>
            <color indexed="81"/>
            <rFont val="Tahoma"/>
            <family val="2"/>
          </rPr>
          <t xml:space="preserve">
The all-in interest rate is the financing rate provided by the bank or other debt investor.
This input cannot be less than zero.
This value will be site specific but reasonable inputs are likely to fall in the range of 4%-10%</t>
        </r>
      </text>
    </comment>
    <comment ref="S59" authorId="0" shapeId="0" xr:uid="{00000000-0006-0000-0100-000062000000}">
      <text>
        <r>
          <rPr>
            <b/>
            <sz val="14"/>
            <color indexed="81"/>
            <rFont val="Tahoma"/>
            <family val="2"/>
          </rPr>
          <t>Note:</t>
        </r>
        <r>
          <rPr>
            <sz val="14"/>
            <color indexed="81"/>
            <rFont val="Tahoma"/>
            <family val="2"/>
          </rPr>
          <t xml:space="preserve">
These input cells allow for assumptions regarding the replacement of major equipment components, which are capitalized and depreciated rather than expensed as annual O&amp;M.   
Caution: Modelers should take into account the assumed contract duration and the project's useful life when considering whether to assume equipment replacements in the latter years of this analysis. 
Inputs should be greater than zero and less than the Project Useful Life.
</t>
        </r>
      </text>
    </comment>
    <comment ref="I60" authorId="0" shapeId="0" xr:uid="{00000000-0006-0000-0100-000063000000}">
      <text>
        <r>
          <rPr>
            <b/>
            <sz val="14"/>
            <color indexed="81"/>
            <rFont val="Tahoma"/>
            <family val="2"/>
          </rPr>
          <t xml:space="preserve">Note:
</t>
        </r>
        <r>
          <rPr>
            <sz val="14"/>
            <color indexed="81"/>
            <rFont val="Tahoma"/>
            <family val="2"/>
          </rPr>
          <t>A one-time fee collected by the lender and calculated as a % of the total loan amount. This value is typically between 1% and 4%.
This input cannot be less than zero.
This value will be site specific but reasonable inputs are likely to fall in the range of 1.0-5.0%</t>
        </r>
      </text>
    </comment>
    <comment ref="S60" authorId="0" shapeId="0" xr:uid="{00000000-0006-0000-0100-000064000000}">
      <text>
        <r>
          <rPr>
            <b/>
            <sz val="14"/>
            <color indexed="81"/>
            <rFont val="Tahoma"/>
            <family val="2"/>
          </rPr>
          <t xml:space="preserve">Note:
</t>
        </r>
        <r>
          <rPr>
            <sz val="14"/>
            <color indexed="81"/>
            <rFont val="Tahoma"/>
            <family val="2"/>
          </rPr>
          <t>The cost of (or even need for) major equipment replacements is difficult to assess, given that costs are attributable to an item that would be purchased many years from commercial operation. The input placed in this cell must be in nominal dollars -- reflecting the expected cost of the equipment in the year replaced. The model then reserves funds sufficient to pay for this replacement from operations in equal amounts until the year in which the replacement occurs.
Note: This model assumes that future equipment purchases will be depreciated on 5-yr MACRS basis.
Input must be greater than or equal to zero.</t>
        </r>
      </text>
    </comment>
    <comment ref="I61" authorId="2" shapeId="0" xr:uid="{00000000-0006-0000-0100-000065000000}">
      <text>
        <r>
          <rPr>
            <b/>
            <sz val="14"/>
            <color indexed="81"/>
            <rFont val="Tahoma"/>
            <family val="2"/>
          </rPr>
          <t>Note:</t>
        </r>
        <r>
          <rPr>
            <sz val="14"/>
            <color indexed="81"/>
            <rFont val="Tahoma"/>
            <family val="2"/>
          </rPr>
          <t xml:space="preserve">
The annual Debt Service Coverage Ratio is calculated by dividing the sum of the annual principal and interest payment into that year's operating cash flow. Lenders will require the DSCR to demonstrate the project's ability to easily meet its annual debt service obligation.
</t>
        </r>
        <r>
          <rPr>
            <u/>
            <sz val="14"/>
            <color indexed="81"/>
            <rFont val="Tahoma"/>
            <family val="2"/>
          </rPr>
          <t>Average</t>
        </r>
        <r>
          <rPr>
            <sz val="14"/>
            <color indexed="81"/>
            <rFont val="Tahoma"/>
            <family val="2"/>
          </rPr>
          <t xml:space="preserve"> DSCRs over the life of the loan typically range from 1.2 to 1.5 for private, commercially financed projects, or from 1.1 to 1.3 for publicly owned, bond-financed projects - depending on the level of reserves, or other surety, provided. The input will vary by site and but will generally fall between 1.0 and 1.3
The </t>
        </r>
        <r>
          <rPr>
            <u/>
            <sz val="14"/>
            <color indexed="81"/>
            <rFont val="Tahoma"/>
            <family val="2"/>
          </rPr>
          <t>annual minimum</t>
        </r>
        <r>
          <rPr>
            <sz val="14"/>
            <color indexed="81"/>
            <rFont val="Tahoma"/>
            <family val="2"/>
          </rPr>
          <t xml:space="preserve"> DSCR will depend on the specific terms of the loan and the probability-weighting of the production estimate, but will likely be in the range of 1.3 to 1.5. This input must be greater than 1.
</t>
        </r>
      </text>
    </comment>
    <comment ref="S61" authorId="0" shapeId="0" xr:uid="{00000000-0006-0000-0100-000066000000}">
      <text>
        <r>
          <rPr>
            <b/>
            <sz val="14"/>
            <color indexed="81"/>
            <rFont val="Tahoma"/>
            <family val="2"/>
          </rPr>
          <t>Note:</t>
        </r>
        <r>
          <rPr>
            <sz val="14"/>
            <color indexed="81"/>
            <rFont val="Tahoma"/>
            <family val="2"/>
          </rPr>
          <t xml:space="preserve">
These input cells allow for assumptions regarding the replacement of major equipment components, which are capitalized and depreciated rather than expensed as annual O&amp;M.   
Caution: Modelers should take into account the assumed contract duration and the project's useful life when considering whether to assume equipment replacements in the latter years of this analysis. 
Inputs should be greater than zero and less than the Project Useful Life.
</t>
        </r>
      </text>
    </comment>
    <comment ref="I62" authorId="0" shapeId="0" xr:uid="{00000000-0006-0000-0100-000067000000}">
      <text>
        <r>
          <rPr>
            <b/>
            <sz val="14"/>
            <color indexed="81"/>
            <rFont val="Tahoma"/>
            <family val="2"/>
          </rPr>
          <t>Note:</t>
        </r>
        <r>
          <rPr>
            <sz val="14"/>
            <color indexed="81"/>
            <rFont val="Tahoma"/>
            <family val="2"/>
          </rPr>
          <t xml:space="preserve">
If "#N/A" appears, F9 should be pressed until the calculated COE achieves it's final value.</t>
        </r>
      </text>
    </comment>
    <comment ref="S62" authorId="0" shapeId="0" xr:uid="{00000000-0006-0000-0100-000068000000}">
      <text>
        <r>
          <rPr>
            <b/>
            <sz val="14"/>
            <color indexed="81"/>
            <rFont val="Tahoma"/>
            <family val="2"/>
          </rPr>
          <t xml:space="preserve">Note:
</t>
        </r>
        <r>
          <rPr>
            <sz val="14"/>
            <color indexed="81"/>
            <rFont val="Tahoma"/>
            <family val="2"/>
          </rPr>
          <t>The cost of (or even need for) major equipment replacements is difficult to assess, given that costs are attributable to an item that would be purchased many years from commercial operation. The input placed in this cell must be in nominal dollars -- reflecting the expected cost of the equipment in the year replaced. The model then reserves funds sufficient to pay for this replacement from operations in equal amounts until the year in which the replacement occurs.
Note: This model assumes that future equipment purchases will be depreciated on 5-yr MACRS basis.
Input must be greater than or equal to zero.</t>
        </r>
      </text>
    </comment>
    <comment ref="I63" authorId="2" shapeId="0" xr:uid="{00000000-0006-0000-0100-000069000000}">
      <text>
        <r>
          <rPr>
            <b/>
            <sz val="14"/>
            <color indexed="81"/>
            <rFont val="Tahoma"/>
            <family val="2"/>
          </rPr>
          <t>Note:</t>
        </r>
        <r>
          <rPr>
            <sz val="14"/>
            <color indexed="81"/>
            <rFont val="Tahoma"/>
            <family val="2"/>
          </rPr>
          <t xml:space="preserve">
This cell checks that the debt service coverage ratio exceeds the user-defined minimum in each operating year (see note in DSCR cell for definition and rationale for DSCR). If the test "fails", the user must choose from one of several options in order to cure this deficiency (the extent to which these options are available will be specific to each project):
1. reduce the amount of project level debt, 
2. increase the feed-in tariff rate in order to generate cash flow sufficient to meet the bank's assumed coverage requirement.  In the CREST model, </t>
        </r>
        <r>
          <rPr>
            <u/>
            <sz val="14"/>
            <color indexed="81"/>
            <rFont val="Tahoma"/>
            <family val="2"/>
          </rPr>
          <t>this is done by manually increasing the "Target After-Tax Equity IRR."</t>
        </r>
        <r>
          <rPr>
            <sz val="14"/>
            <color indexed="81"/>
            <rFont val="Tahoma"/>
            <family val="2"/>
          </rPr>
          <t xml:space="preserve"> Because the CREST model solves for the Levelized Cost of Energy (LCOE) that meets all project costs and minumum stated requirements, increasing the equity IRR requirements signals to the model that more revenue (e.g. a higher contract rate per kWh) is required.  This increased revenue translates into greater debt service coverage and a higher equity IRR.
Other possible, but less likely, mechanisms include:
3. increase the loan tenor
4. decrease the interest rate</t>
        </r>
      </text>
    </comment>
    <comment ref="I64" authorId="2" shapeId="0" xr:uid="{00000000-0006-0000-0100-00006A000000}">
      <text>
        <r>
          <rPr>
            <b/>
            <sz val="14"/>
            <color indexed="81"/>
            <rFont val="Tahoma"/>
            <family val="2"/>
          </rPr>
          <t>Note:</t>
        </r>
        <r>
          <rPr>
            <sz val="14"/>
            <color indexed="81"/>
            <rFont val="Tahoma"/>
            <family val="2"/>
          </rPr>
          <t xml:space="preserve">
The annual Debt Service Coverage Ratio is calculated by dividing the sum of the annual principal and interest payment into that year's operating cash flow. Lenders will require the DSCR to demonstrate the project's ability to easily meet its annual debt service obligation.
</t>
        </r>
        <r>
          <rPr>
            <u/>
            <sz val="14"/>
            <color indexed="81"/>
            <rFont val="Tahoma"/>
            <family val="2"/>
          </rPr>
          <t>Average</t>
        </r>
        <r>
          <rPr>
            <sz val="14"/>
            <color indexed="81"/>
            <rFont val="Tahoma"/>
            <family val="2"/>
          </rPr>
          <t xml:space="preserve"> DSCRs over the life of the loan typically range from 1.2 to 1.5 for private, commercially financed projects, or from 1.1 to 1.3 for publicly owned, bond-financed projects - depending on the level of reserves, or other surety, provided. The input will vary by site and but will generally fall between 1.0 and 1.3
The </t>
        </r>
        <r>
          <rPr>
            <u/>
            <sz val="14"/>
            <color indexed="81"/>
            <rFont val="Tahoma"/>
            <family val="2"/>
          </rPr>
          <t>annual minimum</t>
        </r>
        <r>
          <rPr>
            <sz val="14"/>
            <color indexed="81"/>
            <rFont val="Tahoma"/>
            <family val="2"/>
          </rPr>
          <t xml:space="preserve"> DSCR will depend on the specific terms of the loan and the probability-weighting of the production estimate, but will likely be in the range of 1.3 to 1.5. This input must be greater than 1.
</t>
        </r>
      </text>
    </comment>
    <comment ref="I65" authorId="0" shapeId="0" xr:uid="{00000000-0006-0000-0100-00006B000000}">
      <text>
        <r>
          <rPr>
            <b/>
            <sz val="12"/>
            <color indexed="81"/>
            <rFont val="Tahoma"/>
            <family val="2"/>
          </rPr>
          <t>Note:</t>
        </r>
        <r>
          <rPr>
            <sz val="12"/>
            <color indexed="81"/>
            <rFont val="Tahoma"/>
            <family val="2"/>
          </rPr>
          <t xml:space="preserve">
If "#N/A" appears, F9 should be pressed until the calculated COE achieves it's final value.</t>
        </r>
      </text>
    </comment>
    <comment ref="P65" authorId="0" shapeId="0" xr:uid="{00000000-0006-0000-0100-00006C000000}">
      <text>
        <r>
          <rPr>
            <b/>
            <sz val="8"/>
            <color indexed="81"/>
            <rFont val="Tahoma"/>
            <family val="2"/>
          </rPr>
          <t>See "unit" definitions at the bottom of this worksheet.</t>
        </r>
        <r>
          <rPr>
            <sz val="8"/>
            <color indexed="81"/>
            <rFont val="Tahoma"/>
            <family val="2"/>
          </rPr>
          <t xml:space="preserve">
</t>
        </r>
      </text>
    </comment>
    <comment ref="I66" authorId="2" shapeId="0" xr:uid="{00000000-0006-0000-0100-00006D000000}">
      <text>
        <r>
          <rPr>
            <b/>
            <sz val="14"/>
            <color indexed="81"/>
            <rFont val="Tahoma"/>
            <family val="2"/>
          </rPr>
          <t>Note:</t>
        </r>
        <r>
          <rPr>
            <sz val="14"/>
            <color indexed="81"/>
            <rFont val="Tahoma"/>
            <family val="2"/>
          </rPr>
          <t xml:space="preserve">
This cell checks that the average debt service coverage ratio exceeds the user-defined minimum during the period for which debt is outstanding (see note in DSCR cell for definition and rationale for DSCR). If the test "fails", the user must choose from one of several options in order to cure this deficiency (the extent to which these options are available will be specific to each project):
1. reduce the amount of project level debt, 
2. increase the feed-in tariff rate in order to generate cash flow sufficient to meet the bank's assumed coverage requirement.  In the CREST model, </t>
        </r>
        <r>
          <rPr>
            <u/>
            <sz val="14"/>
            <color indexed="81"/>
            <rFont val="Tahoma"/>
            <family val="2"/>
          </rPr>
          <t>this is done by manually increasing the "Target After-Tax Equity IRR."</t>
        </r>
        <r>
          <rPr>
            <sz val="14"/>
            <color indexed="81"/>
            <rFont val="Tahoma"/>
            <family val="2"/>
          </rPr>
          <t xml:space="preserve">
Other possible, but less likely, mechanisms include:
3. increase the loan tenor
4. decrease the interest rate</t>
        </r>
      </text>
    </comment>
    <comment ref="I67" authorId="0" shapeId="0" xr:uid="{00000000-0006-0000-0100-00006E000000}">
      <text>
        <r>
          <rPr>
            <b/>
            <sz val="14"/>
            <color indexed="81"/>
            <rFont val="Tahoma"/>
            <family val="2"/>
          </rPr>
          <t xml:space="preserve">Note:
</t>
        </r>
        <r>
          <rPr>
            <sz val="14"/>
            <color indexed="81"/>
            <rFont val="Tahoma"/>
            <family val="2"/>
          </rPr>
          <t xml:space="preserve">The portion of total project cost funded from equity investors. This cell is a calculation and not an input. It is calculated as 100% minus the "% Debt" entered above.
</t>
        </r>
      </text>
    </comment>
    <comment ref="S67" authorId="2" shapeId="0" xr:uid="{00000000-0006-0000-0100-00006F000000}">
      <text>
        <r>
          <rPr>
            <b/>
            <sz val="14"/>
            <color indexed="81"/>
            <rFont val="Tahoma"/>
            <family val="2"/>
          </rPr>
          <t xml:space="preserve">Note:
</t>
        </r>
        <r>
          <rPr>
            <sz val="14"/>
            <color indexed="81"/>
            <rFont val="Tahoma"/>
            <family val="2"/>
          </rPr>
          <t xml:space="preserve">In order to ensure that project owners have sufficient funds to decommission and remove equipment at the end of a project's life, many owners choose to create and fund a reserve account throughout the course of project. 
This input cell allows the modeler to choose whether to pay for project removal by creating and funding a reserve account over the project life by selecting "Operations" or to assume that a project's removal will be funded by selling the equipment, by selecting "Salvage".
</t>
        </r>
      </text>
    </comment>
    <comment ref="I68" authorId="2" shapeId="0" xr:uid="{00000000-0006-0000-0100-000070000000}">
      <text>
        <r>
          <rPr>
            <b/>
            <sz val="14"/>
            <color indexed="81"/>
            <rFont val="Tahoma"/>
            <family val="2"/>
          </rPr>
          <t>Note:</t>
        </r>
        <r>
          <rPr>
            <sz val="14"/>
            <color indexed="81"/>
            <rFont val="Tahoma"/>
            <family val="2"/>
          </rPr>
          <t xml:space="preserve">
The target after-tax equity IRR is the equity investor's cost of capital -- or "discount rate" -- and is the minimum rate of return that the project owner will seek to attain in order to justify the project compared to alternative investments.  The CREST model assumes a single equity investor taking both cash and tax benefits.  As a result, the target after-tax equity IRR entered here should represent a blend of expected returns for both cash and tax equity investments.
The user should be explicit in his or her assumption regarding the term over which the target after-tax IRR is assumed to be realized. For example, the user could elect to align the return requirement with the tariff payment duration. In this case, the project useful life should be set equal to the tariff duration in order to calculate the Cost of Energy (COE) associated with the target IRR over that period of time. 
In a second example, the user could elect to align the return requirement with the project's useful life. In this case, the user can either assume a tariff duration equal to the project life, or assume market-based revenue for the period after the tariff and before the end of the assumed project useful life.
This input cannot be less than zero.
If a project is expected to be funded either by a pool of corporate funds or back-leveraged after commercial operation, the user might elect to enter 0% in the "% Debt" cell and enter a weighted average cost of capital (WACC) in the "Target After-Tax Equity IRR" cell.
This value will be site specific but reasonable inputs are likely to fall in the range of 5%-20%</t>
        </r>
      </text>
    </comment>
    <comment ref="S68" authorId="0" shapeId="0" xr:uid="{00000000-0006-0000-0100-000071000000}">
      <text>
        <r>
          <rPr>
            <b/>
            <sz val="14"/>
            <color indexed="81"/>
            <rFont val="Tahoma"/>
            <family val="2"/>
          </rPr>
          <t>Note:</t>
        </r>
        <r>
          <rPr>
            <sz val="14"/>
            <color indexed="81"/>
            <rFont val="Tahoma"/>
            <family val="2"/>
          </rPr>
          <t xml:space="preserve">
This input cell allows the user to assume the creation of a reserve account. The value entered here will be accounted for in the project's cash flow, and would be funded evenly over the number of years available between the project's commercial operation and the end of its useful life.
Input cannot be less than zero.
</t>
        </r>
      </text>
    </comment>
    <comment ref="I69" authorId="0" shapeId="0" xr:uid="{00000000-0006-0000-0100-000072000000}">
      <text>
        <r>
          <rPr>
            <b/>
            <sz val="14"/>
            <color indexed="81"/>
            <rFont val="Tahoma"/>
            <family val="2"/>
          </rPr>
          <t xml:space="preserve">Note:
</t>
        </r>
        <r>
          <rPr>
            <sz val="14"/>
            <color indexed="81"/>
            <rFont val="Tahoma"/>
            <family val="2"/>
          </rPr>
          <t xml:space="preserve">The weighted average cost of capital combines the after-tax cost of both equity and debt in proportion to their use, and is calculated here for reference.
</t>
        </r>
      </text>
    </comment>
    <comment ref="I70" authorId="0" shapeId="0" xr:uid="{00000000-0006-0000-0100-000073000000}">
      <text>
        <r>
          <rPr>
            <b/>
            <sz val="14"/>
            <color indexed="81"/>
            <rFont val="Tahoma"/>
            <family val="2"/>
          </rPr>
          <t xml:space="preserve">Note:
</t>
        </r>
        <r>
          <rPr>
            <sz val="14"/>
            <color indexed="81"/>
            <rFont val="Tahoma"/>
            <family val="2"/>
          </rPr>
          <t>This cell represents the costs of both equity and debt due diligence (if applicable) and other transaction costs.
Input cannot be less than zero.</t>
        </r>
      </text>
    </comment>
    <comment ref="P70" authorId="0" shapeId="0" xr:uid="{00000000-0006-0000-0100-000074000000}">
      <text>
        <r>
          <rPr>
            <b/>
            <sz val="8"/>
            <color indexed="81"/>
            <rFont val="Tahoma"/>
            <family val="2"/>
          </rPr>
          <t>See "unit" definitions at the bottom of this worksheet.</t>
        </r>
        <r>
          <rPr>
            <sz val="8"/>
            <color indexed="81"/>
            <rFont val="Tahoma"/>
            <family val="2"/>
          </rPr>
          <t xml:space="preserve">
</t>
        </r>
      </text>
    </comment>
    <comment ref="S72" authorId="0" shapeId="0" xr:uid="{00000000-0006-0000-0100-000075000000}">
      <text>
        <r>
          <rPr>
            <b/>
            <sz val="14"/>
            <color indexed="81"/>
            <rFont val="Tahoma"/>
            <family val="2"/>
          </rPr>
          <t>Note:</t>
        </r>
        <r>
          <rPr>
            <sz val="14"/>
            <color indexed="81"/>
            <rFont val="Tahoma"/>
            <family val="2"/>
          </rPr>
          <t xml:space="preserve">
Lenders typically require the project owner to establish a reserve account prior to the commencement of operations to ensure that loan repayments occur in full and on time even if the project has insufficient operating cash flow in a specific period due to lower than expected production, higher costs, or both. The size of the reserve account is typically equal to 6 months of debt service obligation.
Input cannot be less than zero.
</t>
        </r>
      </text>
    </comment>
    <comment ref="I73" authorId="0" shapeId="0" xr:uid="{00000000-0006-0000-0100-000076000000}">
      <text>
        <r>
          <rPr>
            <b/>
            <sz val="14"/>
            <color indexed="81"/>
            <rFont val="Tahoma"/>
            <family val="2"/>
          </rPr>
          <t xml:space="preserve">NOTE:
</t>
        </r>
        <r>
          <rPr>
            <sz val="14"/>
            <color indexed="81"/>
            <rFont val="Tahoma"/>
            <family val="2"/>
          </rPr>
          <t xml:space="preserve">The "sources of funding" cells summarize the amount of capital contributed from equity, debt and grants, if applicable. The sum is the same at the project's "Total Installed Cost."
</t>
        </r>
      </text>
    </comment>
    <comment ref="S73" authorId="0" shapeId="0" xr:uid="{00000000-0006-0000-0100-000077000000}">
      <text>
        <r>
          <rPr>
            <b/>
            <sz val="14"/>
            <color indexed="81"/>
            <rFont val="Tahoma"/>
            <family val="2"/>
          </rPr>
          <t>Note:</t>
        </r>
        <r>
          <rPr>
            <sz val="14"/>
            <color indexed="81"/>
            <rFont val="Tahoma"/>
            <family val="2"/>
          </rPr>
          <t xml:space="preserve">
Calculated value based on the # months of required reserve and the capital structure and associated periodic debt obligation.
</t>
        </r>
      </text>
    </comment>
    <comment ref="I74" authorId="0" shapeId="0" xr:uid="{00000000-0006-0000-0100-000078000000}">
      <text>
        <r>
          <rPr>
            <b/>
            <sz val="14"/>
            <color indexed="81"/>
            <rFont val="Tahoma"/>
            <family val="2"/>
          </rPr>
          <t xml:space="preserve">NOTE:
</t>
        </r>
        <r>
          <rPr>
            <sz val="14"/>
            <color indexed="81"/>
            <rFont val="Tahoma"/>
            <family val="2"/>
          </rPr>
          <t xml:space="preserve">The "sources of funding" cells summarize the amount of capital contributed from equity, debt and grants, if applicable. The sum is the same as the project's "Total Installed Cost."
</t>
        </r>
      </text>
    </comment>
    <comment ref="I75" authorId="2" shapeId="0" xr:uid="{00000000-0006-0000-0100-000079000000}">
      <text>
        <r>
          <rPr>
            <b/>
            <sz val="14"/>
            <color indexed="81"/>
            <rFont val="Tahoma"/>
            <family val="2"/>
          </rPr>
          <t xml:space="preserve">Note:
</t>
        </r>
        <r>
          <rPr>
            <sz val="14"/>
            <color indexed="81"/>
            <rFont val="Tahoma"/>
            <family val="2"/>
          </rPr>
          <t>This cell calculates the total of all applicable grants, excluding the payment in lieu of the Federal ITC (also known as the ITC Cash Grant, or Cash Grant), if applicable.  The ITC Cash Grant is considered separately because unlike grants issued upfront and used to offset capital costs, the ITC Cash Grant is disbursed approxiamtely 60 days after the start of commercial operations and therefore becomes an integral part of the project's financing.
Where grants are treated as taxable income, this cell calculates the after-tax impact on the total cost of the project.</t>
        </r>
        <r>
          <rPr>
            <sz val="8"/>
            <color indexed="81"/>
            <rFont val="Tahoma"/>
            <family val="2"/>
          </rPr>
          <t xml:space="preserve">
</t>
        </r>
      </text>
    </comment>
    <comment ref="S75" authorId="0" shapeId="0" xr:uid="{00000000-0006-0000-0100-00007A000000}">
      <text>
        <r>
          <rPr>
            <b/>
            <sz val="14"/>
            <color indexed="81"/>
            <rFont val="Tahoma"/>
            <family val="2"/>
          </rPr>
          <t>Note:</t>
        </r>
        <r>
          <rPr>
            <sz val="14"/>
            <color indexed="81"/>
            <rFont val="Tahoma"/>
            <family val="2"/>
          </rPr>
          <t xml:space="preserve">
Lenders typically require the project owner to establish a reserve account prior to the commencement of operations to ensure that all O&amp;M expenses can be met even if the project has insufficient operating cash flow in a specific period due to lower than expected production, higher costs, or both. The size of the reserve account is typically 3 to 6 months of O&amp;M expenses, and includes all categories of O&amp;M expenses.
Input cannot be less than zero.
</t>
        </r>
      </text>
    </comment>
    <comment ref="I76" authorId="0" shapeId="0" xr:uid="{00000000-0006-0000-0100-00007B000000}">
      <text>
        <r>
          <rPr>
            <b/>
            <sz val="14"/>
            <color indexed="81"/>
            <rFont val="Tahoma"/>
            <family val="2"/>
          </rPr>
          <t xml:space="preserve">NOTE:
</t>
        </r>
        <r>
          <rPr>
            <sz val="14"/>
            <color indexed="81"/>
            <rFont val="Tahoma"/>
            <family val="2"/>
          </rPr>
          <t xml:space="preserve">The "sources of funding" cells summarize the amount of capital contributed from equity, debt and grants, if applicable. The sum is the same as the project's "Total Installed Cost."
</t>
        </r>
      </text>
    </comment>
    <comment ref="S76" authorId="0" shapeId="0" xr:uid="{00000000-0006-0000-0100-00007C000000}">
      <text>
        <r>
          <rPr>
            <b/>
            <sz val="14"/>
            <color indexed="81"/>
            <rFont val="Tahoma"/>
            <family val="2"/>
          </rPr>
          <t>Note:</t>
        </r>
        <r>
          <rPr>
            <sz val="14"/>
            <color indexed="81"/>
            <rFont val="Tahoma"/>
            <family val="2"/>
          </rPr>
          <t xml:space="preserve">
Calculated value based on the # months of required reserve and all annual operating expenses.
</t>
        </r>
      </text>
    </comment>
    <comment ref="S77" authorId="0" shapeId="0" xr:uid="{00000000-0006-0000-0100-00007D000000}">
      <text>
        <r>
          <rPr>
            <b/>
            <sz val="14"/>
            <color indexed="81"/>
            <rFont val="Tahoma"/>
            <family val="2"/>
          </rPr>
          <t>Note:</t>
        </r>
        <r>
          <rPr>
            <sz val="14"/>
            <color indexed="81"/>
            <rFont val="Tahoma"/>
            <family val="2"/>
          </rPr>
          <t xml:space="preserve">
Unused reserves earn interest at this rate. Input cannot be less than zero.
</t>
        </r>
      </text>
    </comment>
    <comment ref="F78" authorId="0" shapeId="0" xr:uid="{00000000-0006-0000-0100-00007E000000}">
      <text>
        <r>
          <rPr>
            <b/>
            <sz val="8"/>
            <color indexed="81"/>
            <rFont val="Tahoma"/>
            <family val="2"/>
          </rPr>
          <t>See "unit" definitions at the bottom of this worksheet.</t>
        </r>
        <r>
          <rPr>
            <sz val="8"/>
            <color indexed="81"/>
            <rFont val="Tahoma"/>
            <family val="2"/>
          </rPr>
          <t xml:space="preserve">
</t>
        </r>
      </text>
    </comment>
    <comment ref="I79" authorId="0" shapeId="0" xr:uid="{00000000-0006-0000-0100-00007F000000}">
      <text>
        <r>
          <rPr>
            <b/>
            <sz val="14"/>
            <color indexed="81"/>
            <rFont val="Tahoma"/>
            <family val="2"/>
          </rPr>
          <t xml:space="preserve">Note:
</t>
        </r>
        <r>
          <rPr>
            <sz val="14"/>
            <color indexed="81"/>
            <rFont val="Tahoma"/>
            <family val="2"/>
          </rPr>
          <t xml:space="preserve">Defines whether the project owner is a taxable or non-taxable entity. This determines the treatment of income taxes and other tax-related items.
</t>
        </r>
      </text>
    </comment>
    <comment ref="I80" authorId="0" shapeId="0" xr:uid="{00000000-0006-0000-0100-000080000000}">
      <text>
        <r>
          <rPr>
            <b/>
            <sz val="14"/>
            <color indexed="81"/>
            <rFont val="Tahoma"/>
            <family val="2"/>
          </rPr>
          <t xml:space="preserve">Note:
</t>
        </r>
        <r>
          <rPr>
            <sz val="14"/>
            <color indexed="81"/>
            <rFont val="Tahoma"/>
            <family val="2"/>
          </rPr>
          <t xml:space="preserve">Defines the project's federal income tax rate, if applicable.
Input cannot be less than zero.
</t>
        </r>
      </text>
    </comment>
    <comment ref="S80" authorId="0" shapeId="0" xr:uid="{00000000-0006-0000-0100-000081000000}">
      <text>
        <r>
          <rPr>
            <b/>
            <sz val="14"/>
            <color indexed="81"/>
            <rFont val="Tahoma"/>
            <family val="2"/>
          </rPr>
          <t>Note:</t>
        </r>
        <r>
          <rPr>
            <sz val="14"/>
            <color indexed="81"/>
            <rFont val="Tahoma"/>
            <family val="2"/>
          </rPr>
          <t xml:space="preserve">
To qualify for Bonus Depreciation the property must have a recovery period of 20 years or less (under normal federal tax depreciation rules), and the project must commence operation in the year in which bonus depreciation is in effect and under the ownership of the entity claiming the deduction. 
For qualifying projects, the owner is entitled to deduct 50% of the adjusted basis of the property during the tax year the property is first placed in service. The remaining 50% of the adjusted basis of the property is depreciated over the ordinary MACRS depreciation schedule. The bonus depreciation rules do not override the depreciation limit applicable to projects qualifying for the federal ITC. Before calculating depreciation for such a project, including any bonus depreciation, the adjusted basis of the project must be reduced by one-half of the amount of the ITC for which the project qualifies. 
</t>
        </r>
      </text>
    </comment>
    <comment ref="I81" authorId="0" shapeId="0" xr:uid="{00000000-0006-0000-0100-000082000000}">
      <text>
        <r>
          <rPr>
            <b/>
            <sz val="14"/>
            <color indexed="81"/>
            <rFont val="Tahoma"/>
            <family val="2"/>
          </rPr>
          <t xml:space="preserve">Note:
</t>
        </r>
        <r>
          <rPr>
            <sz val="14"/>
            <color indexed="81"/>
            <rFont val="Tahoma"/>
            <family val="2"/>
          </rPr>
          <t xml:space="preserve">Defines whether depreciation and PTC benefits are monetized in the period in which they are generated ("as generated" option) or whether these benefits must be delayed until the project has sufficient tax liability to use these benefits without relying on a 3rd-party investor with tax liability external to the project ("carried forward" method).
</t>
        </r>
      </text>
    </comment>
    <comment ref="S81" authorId="0" shapeId="0" xr:uid="{00000000-0006-0000-0100-000083000000}">
      <text>
        <r>
          <rPr>
            <b/>
            <sz val="14"/>
            <color indexed="81"/>
            <rFont val="Tahoma"/>
            <family val="2"/>
          </rPr>
          <t>Note:</t>
        </r>
        <r>
          <rPr>
            <sz val="14"/>
            <color indexed="81"/>
            <rFont val="Tahoma"/>
            <family val="2"/>
          </rPr>
          <t xml:space="preserve">
This input allows the user to define the bonus depreciation % applied in Year 1, if applicable.  Historically, federal bonus depreciation has been 50% of the eligible cost basis (after taking into account reductions in such cost basis for the ITC, if applicable).  
Input cannot be less than zero.
</t>
        </r>
      </text>
    </comment>
    <comment ref="I82" authorId="0" shapeId="0" xr:uid="{00000000-0006-0000-0100-000084000000}">
      <text>
        <r>
          <rPr>
            <b/>
            <sz val="14"/>
            <color indexed="81"/>
            <rFont val="Tahoma"/>
            <family val="2"/>
          </rPr>
          <t xml:space="preserve">Note:
</t>
        </r>
        <r>
          <rPr>
            <sz val="14"/>
            <color indexed="81"/>
            <rFont val="Tahoma"/>
            <family val="2"/>
          </rPr>
          <t xml:space="preserve">Defines the project's state income tax rate, if applicable.
Input cannot be less than zero.
</t>
        </r>
      </text>
    </comment>
    <comment ref="I83" authorId="0" shapeId="0" xr:uid="{00000000-0006-0000-0100-000085000000}">
      <text>
        <r>
          <rPr>
            <b/>
            <sz val="14"/>
            <color indexed="81"/>
            <rFont val="Tahoma"/>
            <family val="2"/>
          </rPr>
          <t xml:space="preserve">Note:
</t>
        </r>
        <r>
          <rPr>
            <sz val="14"/>
            <color indexed="81"/>
            <rFont val="Tahoma"/>
            <family val="2"/>
          </rPr>
          <t xml:space="preserve">Defines whether depreciation and PTC benefits are monetized in the period in which they are generated ("as generated" option) or whether these benefits must be delayed until the project has sufficient tax liability to use these benefits without relying on a 3rd-party investor with tax liability external to the project ("carried forward" method).
</t>
        </r>
      </text>
    </comment>
    <comment ref="I84" authorId="0" shapeId="0" xr:uid="{00000000-0006-0000-0100-000086000000}">
      <text>
        <r>
          <rPr>
            <b/>
            <sz val="14"/>
            <color indexed="81"/>
            <rFont val="Tahoma"/>
            <family val="2"/>
          </rPr>
          <t xml:space="preserve">Note:
</t>
        </r>
        <r>
          <rPr>
            <sz val="14"/>
            <color indexed="81"/>
            <rFont val="Tahoma"/>
            <family val="2"/>
          </rPr>
          <t xml:space="preserve">Takes into account the interaction between federal and state tax rates. This is a calculated value.
</t>
        </r>
      </text>
    </comment>
    <comment ref="AB84" authorId="0" shapeId="0" xr:uid="{00000000-0006-0000-0100-000087000000}">
      <text>
        <r>
          <rPr>
            <b/>
            <sz val="14"/>
            <color indexed="81"/>
            <rFont val="Tahoma"/>
            <family val="2"/>
          </rPr>
          <t>Note:</t>
        </r>
        <r>
          <rPr>
            <sz val="14"/>
            <color indexed="81"/>
            <rFont val="Tahoma"/>
            <family val="2"/>
          </rPr>
          <t xml:space="preserve">
When the "Simple" capital cost option is selected, the depreciation of total project costs is divided among the classifications using this row. The depreciation options associated with other levels of cost detail will be hidden.
</t>
        </r>
        <r>
          <rPr>
            <b/>
            <sz val="14"/>
            <color indexed="81"/>
            <rFont val="Tahoma"/>
            <family val="2"/>
          </rPr>
          <t xml:space="preserve">This row must sum to 100%.
</t>
        </r>
      </text>
    </comment>
    <comment ref="I85" authorId="0" shapeId="0" xr:uid="{00000000-0006-0000-0100-000088000000}">
      <text>
        <r>
          <rPr>
            <b/>
            <sz val="14"/>
            <color indexed="81"/>
            <rFont val="Tahoma"/>
            <family val="2"/>
          </rPr>
          <t xml:space="preserve">Note:
</t>
        </r>
        <r>
          <rPr>
            <sz val="14"/>
            <color indexed="81"/>
            <rFont val="Tahoma"/>
            <family val="2"/>
          </rPr>
          <t>Depreciation accounts for the "use" of equipment for tax purposes. The depreciation inputs are provided in the table to the right and on the Complex Capital Costs tab when this option is selected.</t>
        </r>
      </text>
    </comment>
    <comment ref="AB85" authorId="0" shapeId="0" xr:uid="{00000000-0006-0000-0100-000089000000}">
      <text>
        <r>
          <rPr>
            <b/>
            <sz val="14"/>
            <color indexed="81"/>
            <rFont val="Tahoma"/>
            <family val="2"/>
          </rPr>
          <t>Note:</t>
        </r>
        <r>
          <rPr>
            <sz val="14"/>
            <color indexed="81"/>
            <rFont val="Tahoma"/>
            <family val="2"/>
          </rPr>
          <t xml:space="preserve">
When the "Intermediate" capital cost option is selected, the allocation of the specified cost category across the depreciation classifications is done using this row. The depreciation options associated with other levels of cost detail will be hidden.
</t>
        </r>
        <r>
          <rPr>
            <b/>
            <sz val="14"/>
            <color indexed="81"/>
            <rFont val="Tahoma"/>
            <family val="2"/>
          </rPr>
          <t xml:space="preserve">This row must sum to 100%.
</t>
        </r>
      </text>
    </comment>
    <comment ref="AB86" authorId="0" shapeId="0" xr:uid="{00000000-0006-0000-0100-00008A000000}">
      <text>
        <r>
          <rPr>
            <b/>
            <sz val="14"/>
            <color indexed="81"/>
            <rFont val="Tahoma"/>
            <family val="2"/>
          </rPr>
          <t>Note:</t>
        </r>
        <r>
          <rPr>
            <sz val="14"/>
            <color indexed="81"/>
            <rFont val="Tahoma"/>
            <family val="2"/>
          </rPr>
          <t xml:space="preserve">
When the "Intermediate" capital cost option is selected, the allocation of the specified cost category across the depreciation classifications is done using this row. The depreciation options associated with other levels of cost detail will be hidden.
</t>
        </r>
        <r>
          <rPr>
            <b/>
            <sz val="14"/>
            <color indexed="81"/>
            <rFont val="Tahoma"/>
            <family val="2"/>
          </rPr>
          <t xml:space="preserve">This row must sum to 100%.
</t>
        </r>
      </text>
    </comment>
    <comment ref="AB87" authorId="0" shapeId="0" xr:uid="{00000000-0006-0000-0100-00008B000000}">
      <text>
        <r>
          <rPr>
            <b/>
            <sz val="14"/>
            <color indexed="81"/>
            <rFont val="Tahoma"/>
            <family val="2"/>
          </rPr>
          <t>Note:</t>
        </r>
        <r>
          <rPr>
            <sz val="14"/>
            <color indexed="81"/>
            <rFont val="Tahoma"/>
            <family val="2"/>
          </rPr>
          <t xml:space="preserve">
When the "Intermediate" capital cost option is selected, the allocation of the specified cost category across the depreciation classifications is done using this row. The depreciation options associated with other levels of cost detail will be hidden.
</t>
        </r>
        <r>
          <rPr>
            <b/>
            <sz val="14"/>
            <color indexed="81"/>
            <rFont val="Tahoma"/>
            <family val="2"/>
          </rPr>
          <t xml:space="preserve">This row must sum to 100%.
</t>
        </r>
      </text>
    </comment>
    <comment ref="AB88" authorId="0" shapeId="0" xr:uid="{00000000-0006-0000-0100-00008C000000}">
      <text>
        <r>
          <rPr>
            <b/>
            <sz val="14"/>
            <color indexed="81"/>
            <rFont val="Tahoma"/>
            <family val="2"/>
          </rPr>
          <t>Note:</t>
        </r>
        <r>
          <rPr>
            <sz val="14"/>
            <color indexed="81"/>
            <rFont val="Tahoma"/>
            <family val="2"/>
          </rPr>
          <t xml:space="preserve">
When the "Intermediate" capital cost option is selected, the allocation of the specified cost category across the depreciation classifications is done using this row. The depreciation options associated with other levels of cost detail will be hidden.
</t>
        </r>
        <r>
          <rPr>
            <b/>
            <sz val="14"/>
            <color indexed="81"/>
            <rFont val="Tahoma"/>
            <family val="2"/>
          </rPr>
          <t xml:space="preserve">This row must sum to 100%.
</t>
        </r>
      </text>
    </comment>
    <comment ref="AB89" authorId="0" shapeId="0" xr:uid="{00000000-0006-0000-0100-00008D000000}">
      <text>
        <r>
          <rPr>
            <b/>
            <sz val="14"/>
            <color indexed="81"/>
            <rFont val="Tahoma"/>
            <family val="2"/>
          </rPr>
          <t>Note:</t>
        </r>
        <r>
          <rPr>
            <sz val="14"/>
            <color indexed="81"/>
            <rFont val="Tahoma"/>
            <family val="2"/>
          </rPr>
          <t xml:space="preserve">
When the "Intermediate" capital cost option is selected, the allocation of the specified cost category across the depreciation classifications is done using this row. The depreciation options associated with other levels of cost detail will be hidden.
</t>
        </r>
        <r>
          <rPr>
            <b/>
            <sz val="14"/>
            <color indexed="81"/>
            <rFont val="Tahoma"/>
            <family val="2"/>
          </rPr>
          <t xml:space="preserve">This row must sum to 100%.
</t>
        </r>
      </text>
    </comment>
    <comment ref="AB90" authorId="0" shapeId="0" xr:uid="{00000000-0006-0000-0100-00008E000000}">
      <text>
        <r>
          <rPr>
            <b/>
            <sz val="14"/>
            <color indexed="81"/>
            <rFont val="Tahoma"/>
            <family val="2"/>
          </rPr>
          <t>Note:</t>
        </r>
        <r>
          <rPr>
            <sz val="14"/>
            <color indexed="81"/>
            <rFont val="Tahoma"/>
            <family val="2"/>
          </rPr>
          <t xml:space="preserve">
When the "Complex" capital cost option is selected, each line items is assigned its own depreciation classification using a drop-down menu on the Complex Capital Costs tab.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Jason Gifford</author>
  </authors>
  <commentList>
    <comment ref="B5" authorId="0" shapeId="0" xr:uid="{00000000-0006-0000-0200-000001000000}">
      <text>
        <r>
          <rPr>
            <b/>
            <sz val="12"/>
            <color indexed="81"/>
            <rFont val="Tahoma"/>
            <family val="2"/>
          </rPr>
          <t>Note:</t>
        </r>
        <r>
          <rPr>
            <sz val="12"/>
            <color indexed="81"/>
            <rFont val="Tahoma"/>
            <family val="2"/>
          </rPr>
          <t xml:space="preserve">
One of the CREST model development objectives was to incorporate maximum functionality and flexibility, while maintaining a macro-free file.
As a result, the model calculates using a series of three data tables which converge onto the COE within several one-hundredths of a cent.
Because the three data tables rely on one another to calculate the COE, and the "Automatic" calculation setting only re-calculates the first data table under certain circumstances, it is sometimes necessary to press F9 more than once in order for the calculation to cascade through each of the three data tables.
If "#N/A" appears, F9 should be pressed until the calculated COE achieves it's final value.
</t>
        </r>
      </text>
    </comment>
    <comment ref="B14" authorId="0" shapeId="0" xr:uid="{00000000-0006-0000-0200-000002000000}">
      <text>
        <r>
          <rPr>
            <b/>
            <sz val="14"/>
            <color indexed="81"/>
            <rFont val="Tahoma"/>
            <family val="2"/>
          </rPr>
          <t xml:space="preserve">NOTE:
</t>
        </r>
        <r>
          <rPr>
            <sz val="14"/>
            <color indexed="81"/>
            <rFont val="Tahoma"/>
            <family val="2"/>
          </rPr>
          <t>The Nominal Levelized Cost of Energy (LCOE)
is the single, fixed rate with the same economic impact over the life of the project as the Year-One value escalated over time.  When a 0% escalator is assumed, the "Year-One COE" and "LCOE" are the same.
Both the Year One COE and the LCOE reflect the tariff rate necessary to achieve the project investor's required after tax rate of return, taking into account all applicable incentives and any market value of production assumed after the tariff expires and before the end of the project's useful life.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Jason Gifford</author>
  </authors>
  <commentList>
    <comment ref="C4" authorId="0" shapeId="0" xr:uid="{00000000-0006-0000-0300-000001000000}">
      <text>
        <r>
          <rPr>
            <b/>
            <sz val="14"/>
            <color indexed="81"/>
            <rFont val="Tahoma"/>
            <family val="2"/>
          </rPr>
          <t xml:space="preserve">Note:
</t>
        </r>
        <r>
          <rPr>
            <sz val="14"/>
            <color indexed="81"/>
            <rFont val="Tahoma"/>
            <family val="2"/>
          </rPr>
          <t>During the FIT contract period, this column represents the feed-in tariff rate, including escalation if applicable.  After the FIT contract ends, this column represents the value of energy, capacity, renewable energy credits, or other attributes as defined and enterred by the user, if applicable.</t>
        </r>
      </text>
    </comment>
    <comment ref="D4" authorId="0" shapeId="0" xr:uid="{00000000-0006-0000-0300-000002000000}">
      <text>
        <r>
          <rPr>
            <sz val="8"/>
            <color indexed="81"/>
            <rFont val="Tahoma"/>
            <family val="2"/>
          </rPr>
          <t xml:space="preserve">
</t>
        </r>
        <r>
          <rPr>
            <b/>
            <sz val="14"/>
            <color indexed="81"/>
            <rFont val="Tahoma"/>
            <family val="2"/>
          </rPr>
          <t>Note:</t>
        </r>
        <r>
          <rPr>
            <sz val="8"/>
            <color indexed="81"/>
            <rFont val="Tahoma"/>
            <family val="2"/>
          </rPr>
          <t xml:space="preserve">
</t>
        </r>
        <r>
          <rPr>
            <sz val="14"/>
            <color indexed="81"/>
            <rFont val="Tahoma"/>
            <family val="2"/>
          </rPr>
          <t>includes performance-based incentives.</t>
        </r>
      </text>
    </comment>
    <comment ref="E4" authorId="0" shapeId="0" xr:uid="{00000000-0006-0000-0300-000003000000}">
      <text>
        <r>
          <rPr>
            <b/>
            <sz val="14"/>
            <color indexed="81"/>
            <rFont val="Tahoma"/>
            <family val="2"/>
          </rPr>
          <t>Note:</t>
        </r>
        <r>
          <rPr>
            <sz val="14"/>
            <color indexed="81"/>
            <rFont val="Tahoma"/>
            <family val="2"/>
          </rPr>
          <t xml:space="preserve">
Includes all land lease, royalty and local tax or PILOT.
</t>
        </r>
      </text>
    </comment>
    <comment ref="F4" authorId="0" shapeId="0" xr:uid="{00000000-0006-0000-0300-000004000000}">
      <text>
        <r>
          <rPr>
            <b/>
            <sz val="12"/>
            <color indexed="81"/>
            <rFont val="Tahoma"/>
            <family val="2"/>
          </rPr>
          <t xml:space="preserve">Note:
</t>
        </r>
        <r>
          <rPr>
            <sz val="12"/>
            <color indexed="81"/>
            <rFont val="Tahoma"/>
            <family val="2"/>
          </rPr>
          <t>Includes principle and interest, if debt is used.</t>
        </r>
      </text>
    </comment>
    <comment ref="G4" authorId="0" shapeId="0" xr:uid="{00000000-0006-0000-0300-000005000000}">
      <text>
        <r>
          <rPr>
            <b/>
            <sz val="14"/>
            <color indexed="81"/>
            <rFont val="Tahoma"/>
            <family val="2"/>
          </rPr>
          <t xml:space="preserve">Note:
</t>
        </r>
        <r>
          <rPr>
            <sz val="14"/>
            <color indexed="81"/>
            <rFont val="Tahoma"/>
            <family val="2"/>
          </rPr>
          <t xml:space="preserve">Positive values denote net withdrawal from reserve accounts as reserved capital is returned to project owners.
</t>
        </r>
      </text>
    </comment>
    <comment ref="M4" authorId="0" shapeId="0" xr:uid="{00000000-0006-0000-0300-000006000000}">
      <text>
        <r>
          <rPr>
            <b/>
            <sz val="14"/>
            <color indexed="81"/>
            <rFont val="Tahoma"/>
            <family val="2"/>
          </rPr>
          <t xml:space="preserve">Note:
</t>
        </r>
        <r>
          <rPr>
            <sz val="14"/>
            <color indexed="81"/>
            <rFont val="Tahoma"/>
            <family val="2"/>
          </rPr>
          <t xml:space="preserve">This is the annual cash flow disbursed to the project's equity investors, after tax.
</t>
        </r>
      </text>
    </comment>
    <comment ref="N4" authorId="0" shapeId="0" xr:uid="{00000000-0006-0000-0300-000007000000}">
      <text>
        <r>
          <rPr>
            <b/>
            <sz val="14"/>
            <color indexed="81"/>
            <rFont val="Tahoma"/>
            <family val="2"/>
          </rPr>
          <t xml:space="preserve">Note:
</t>
        </r>
        <r>
          <rPr>
            <sz val="14"/>
            <color indexed="81"/>
            <rFont val="Tahoma"/>
            <family val="2"/>
          </rPr>
          <t xml:space="preserve">This is the cumulative benefit of annual net cash flows.  The year in which the values become positive represents the return "of" the equity investor's original cash contribution.  The equity investor does not earn its return "on" investment until the required rate is met - which in this model will be in the final project year.
</t>
        </r>
      </text>
    </comment>
    <comment ref="O4" authorId="0" shapeId="0" xr:uid="{00000000-0006-0000-0300-000008000000}">
      <text>
        <r>
          <rPr>
            <b/>
            <sz val="14"/>
            <color indexed="81"/>
            <rFont val="Tahoma"/>
            <family val="2"/>
          </rPr>
          <t xml:space="preserve">Note:
</t>
        </r>
        <r>
          <rPr>
            <sz val="14"/>
            <color indexed="81"/>
            <rFont val="Tahoma"/>
            <family val="2"/>
          </rPr>
          <t xml:space="preserve">This is a running tally on the equity investor's after tax internal rate of return.
</t>
        </r>
      </text>
    </comment>
    <comment ref="P4" authorId="0" shapeId="0" xr:uid="{00000000-0006-0000-0300-000009000000}">
      <text>
        <r>
          <rPr>
            <b/>
            <sz val="14"/>
            <color indexed="81"/>
            <rFont val="Tahoma"/>
            <family val="2"/>
          </rPr>
          <t xml:space="preserve">Note:
</t>
        </r>
        <r>
          <rPr>
            <sz val="14"/>
            <color indexed="81"/>
            <rFont val="Tahoma"/>
            <family val="2"/>
          </rPr>
          <t xml:space="preserve">The Debt Service Coverage Ratio is calculated by dividing the sum of the annual principal and interest payment into that year's operating cash flow.  Lenders will require the DSCR to demonstrate the project's ability to easily meet its annual debt service obligation.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Jason Gifford</author>
  </authors>
  <commentList>
    <comment ref="E70" authorId="0" shapeId="0" xr:uid="{00000000-0006-0000-0400-000001000000}">
      <text>
        <r>
          <rPr>
            <b/>
            <sz val="14"/>
            <color indexed="81"/>
            <rFont val="Tahoma"/>
            <family val="2"/>
          </rPr>
          <t xml:space="preserve">NOTE:
</t>
        </r>
        <r>
          <rPr>
            <sz val="14"/>
            <color indexed="81"/>
            <rFont val="Tahoma"/>
            <family val="2"/>
          </rPr>
          <t>If operating loss carry-forward is NOT applied, the values in the "Taxable Income" lines should be the same.</t>
        </r>
        <r>
          <rPr>
            <sz val="8"/>
            <color indexed="81"/>
            <rFont val="Tahoma"/>
            <family val="2"/>
          </rPr>
          <t xml:space="preserve">
</t>
        </r>
      </text>
    </comment>
    <comment ref="C108" authorId="0" shapeId="0" xr:uid="{00000000-0006-0000-0400-000002000000}">
      <text>
        <r>
          <rPr>
            <b/>
            <sz val="14"/>
            <color indexed="81"/>
            <rFont val="Tahoma"/>
            <family val="2"/>
          </rPr>
          <t>Note:</t>
        </r>
        <r>
          <rPr>
            <sz val="14"/>
            <color indexed="81"/>
            <rFont val="Tahoma"/>
            <family val="2"/>
          </rPr>
          <t xml:space="preserve">
Adjustments include (if applicable): reduction of cost basis by 50% of ITC (or ITC Cash Grant), reduction of cost basis for other non-taxable grants, and allocation of Bonus Depreciation. </t>
        </r>
      </text>
    </comment>
    <comment ref="E108" authorId="0" shapeId="0" xr:uid="{00000000-0006-0000-0400-000003000000}">
      <text>
        <r>
          <rPr>
            <b/>
            <sz val="14"/>
            <color indexed="81"/>
            <rFont val="Tahoma"/>
            <family val="2"/>
          </rPr>
          <t xml:space="preserve">Note:
</t>
        </r>
        <r>
          <rPr>
            <sz val="14"/>
            <color indexed="81"/>
            <rFont val="Tahoma"/>
            <family val="2"/>
          </rPr>
          <t xml:space="preserve">Adjustments include (if applicable): reduction of cost basis by 50% of ITC (or ITC Cash Grant), reduction of cost basis for other non-taxable grants, and allocation of Bonus Depreciation. </t>
        </r>
      </text>
    </comment>
    <comment ref="G189" authorId="0" shapeId="0" xr:uid="{00000000-0006-0000-0400-000004000000}">
      <text>
        <r>
          <rPr>
            <b/>
            <sz val="12"/>
            <color indexed="81"/>
            <rFont val="Tahoma"/>
            <family val="2"/>
          </rPr>
          <t>Note:</t>
        </r>
        <r>
          <rPr>
            <sz val="12"/>
            <color indexed="81"/>
            <rFont val="Tahoma"/>
            <family val="2"/>
          </rPr>
          <t xml:space="preserve">
ITC earned in first quarter of operation assumed eligible to offset tax on state income taxes saved in first operating year, when applicable. Remainder of ITC carried forward.
</t>
        </r>
      </text>
    </comment>
    <comment ref="B216" authorId="0" shapeId="0" xr:uid="{00000000-0006-0000-0400-000005000000}">
      <text>
        <r>
          <rPr>
            <sz val="14"/>
            <color indexed="81"/>
            <rFont val="Tahoma"/>
            <family val="2"/>
          </rPr>
          <t>If decommissioning paid for through operations (e.g. a decommissioning reserve account) then the "Ending Balance" in the project's final operating year should equal the total decommission reserve requirement specified on the inputs tab; if decommissioning is paid for from the salvage value of the equipment, then the "Ending Balance" in the project's final operating year should be zero.</t>
        </r>
      </text>
    </comment>
  </commentList>
</comments>
</file>

<file path=xl/sharedStrings.xml><?xml version="1.0" encoding="utf-8"?>
<sst xmlns="http://schemas.openxmlformats.org/spreadsheetml/2006/main" count="1040" uniqueCount="485">
  <si>
    <t>$</t>
  </si>
  <si>
    <t>%</t>
  </si>
  <si>
    <t>kWh</t>
  </si>
  <si>
    <t>years</t>
  </si>
  <si>
    <t>Construction Period</t>
  </si>
  <si>
    <t>Federal Income Tax Rate</t>
  </si>
  <si>
    <t>State Income Tax Rate</t>
  </si>
  <si>
    <t>?</t>
  </si>
  <si>
    <t>Select Cost Level of Detail</t>
  </si>
  <si>
    <t>Operations &amp; Maintenance</t>
  </si>
  <si>
    <t>$/yr</t>
  </si>
  <si>
    <t>Operating Expenses</t>
  </si>
  <si>
    <t>Yes</t>
  </si>
  <si>
    <t>Technology Options</t>
  </si>
  <si>
    <t>Project Size and Performance</t>
  </si>
  <si>
    <t>Is owner a taxable entity?</t>
  </si>
  <si>
    <t>ITC utilization factor, if applicable</t>
  </si>
  <si>
    <t>Notes</t>
  </si>
  <si>
    <t>Check</t>
  </si>
  <si>
    <t>5-year MACRS</t>
  </si>
  <si>
    <t>15-year MACRS</t>
  </si>
  <si>
    <t>15-year SL</t>
  </si>
  <si>
    <t>20-year SL</t>
  </si>
  <si>
    <t>Non-Depreciable</t>
  </si>
  <si>
    <t>Federal Incentives</t>
  </si>
  <si>
    <t>Utilization Factor, if applicable</t>
  </si>
  <si>
    <t>Cost Category</t>
  </si>
  <si>
    <t>year</t>
  </si>
  <si>
    <t>Generator Nameplate Capacity</t>
  </si>
  <si>
    <t>Effective Income Tax Rate</t>
  </si>
  <si>
    <t>State ITC realization period</t>
  </si>
  <si>
    <t>yrs</t>
  </si>
  <si>
    <t>PBI Duration</t>
  </si>
  <si>
    <t>Permanent Financing</t>
  </si>
  <si>
    <t>Interest Rate (Annual)</t>
  </si>
  <si>
    <t>months</t>
  </si>
  <si>
    <t>Interest During Construction</t>
  </si>
  <si>
    <t>Initial Funding of Reserve Accounts</t>
  </si>
  <si>
    <t>Debt Service Reserve</t>
  </si>
  <si>
    <t># of months of O&amp;M Expense</t>
  </si>
  <si>
    <t>Initial O&amp;M and WC Reserve</t>
  </si>
  <si>
    <t>Initial Debt Service Reserve</t>
  </si>
  <si>
    <t># of months of Debt Service</t>
  </si>
  <si>
    <t>Decommissioning Reserve</t>
  </si>
  <si>
    <t>Reserves Funded from Operations</t>
  </si>
  <si>
    <t>Fund from Operations or Salvage Value?</t>
  </si>
  <si>
    <t>Reserve Requirement</t>
  </si>
  <si>
    <t>Lender's Fee (% of total borrowing)</t>
  </si>
  <si>
    <t>Other Equity &amp; Debt Closing Costs</t>
  </si>
  <si>
    <t>Inputs Summary</t>
  </si>
  <si>
    <t>Outputs Summary</t>
  </si>
  <si>
    <t>Years</t>
  </si>
  <si>
    <t>¢/kWh</t>
  </si>
  <si>
    <t>Annual Project Cash Flows, Returns &amp; Other Metrics</t>
  </si>
  <si>
    <t>Revenue</t>
  </si>
  <si>
    <t>Year</t>
  </si>
  <si>
    <t>Cumulative Cash Flow</t>
  </si>
  <si>
    <t>After Tax IRR</t>
  </si>
  <si>
    <t>Debt Service</t>
  </si>
  <si>
    <t>Coverage</t>
  </si>
  <si>
    <t>Current Model Run</t>
  </si>
  <si>
    <t>units</t>
  </si>
  <si>
    <t>O&amp;M Reserve/Working Capital</t>
  </si>
  <si>
    <t>Insurance, Yr 1 (% of Total Cost)</t>
  </si>
  <si>
    <t>COD</t>
  </si>
  <si>
    <t>Project Expenses</t>
  </si>
  <si>
    <t>Project Administration</t>
  </si>
  <si>
    <t>Insurance</t>
  </si>
  <si>
    <t>Operating Income After Interest Expense</t>
  </si>
  <si>
    <t>Pre-Tax Cash Flow to Equity</t>
  </si>
  <si>
    <t>Project Cash Flows</t>
  </si>
  <si>
    <t>Running IRR (Cash Only)</t>
  </si>
  <si>
    <t>Supporting Calculations</t>
  </si>
  <si>
    <t>5 Year MACRS</t>
  </si>
  <si>
    <t>15 Year MACRS</t>
  </si>
  <si>
    <t>20 Year MACRS</t>
  </si>
  <si>
    <t>20 Year SL</t>
  </si>
  <si>
    <t>39 Year SL</t>
  </si>
  <si>
    <t>Total Project Cost, adj for ITC/Grant if applicable</t>
  </si>
  <si>
    <t xml:space="preserve">Total  </t>
  </si>
  <si>
    <t xml:space="preserve">Debt Service:            </t>
  </si>
  <si>
    <t>Size of Debt</t>
  </si>
  <si>
    <t>Debt Sizing (Defined Capital Structure Method)</t>
  </si>
  <si>
    <t>Installed Cost (excluding cost of financing)</t>
  </si>
  <si>
    <t>Defined Debt-to-Total-Capital</t>
  </si>
  <si>
    <t>Beginning Balance</t>
  </si>
  <si>
    <t>Drawdowns</t>
  </si>
  <si>
    <t>Ending Balance</t>
  </si>
  <si>
    <t>Interest</t>
  </si>
  <si>
    <t>Principal</t>
  </si>
  <si>
    <t>Structured Debt Service Payment</t>
  </si>
  <si>
    <t>Depreciation Allocation</t>
  </si>
  <si>
    <t>% Eligible for ITC</t>
  </si>
  <si>
    <t>placeholder</t>
  </si>
  <si>
    <t>Click Here to Return to Inputs Worksheet</t>
  </si>
  <si>
    <t>Reserves &amp; Financing Costs</t>
  </si>
  <si>
    <t>Variable O&amp;M Expense, Yr 1</t>
  </si>
  <si>
    <t xml:space="preserve">¢/kWh </t>
  </si>
  <si>
    <t>see table ==&gt;</t>
  </si>
  <si>
    <t>Tariff Rate &amp; Cash Incentives</t>
  </si>
  <si>
    <t>Percentage of Tariff Escalated</t>
  </si>
  <si>
    <t>Tariff Rate Escalator, if applicable</t>
  </si>
  <si>
    <t>Revenue from Tariff</t>
  </si>
  <si>
    <t>Federal Cash Incentive Rate</t>
  </si>
  <si>
    <t xml:space="preserve">Federal Cash Incentive  </t>
  </si>
  <si>
    <t>State Cash Incentive Rate</t>
  </si>
  <si>
    <t xml:space="preserve">State Cash Incentive  </t>
  </si>
  <si>
    <t>Operating Expense Inflation Factor</t>
  </si>
  <si>
    <t>Fixed O&amp;M Expense</t>
  </si>
  <si>
    <t>Variable O&amp;M Expense</t>
  </si>
  <si>
    <t>Property Tax or Payment in Lieu of Taxes (PILOT)</t>
  </si>
  <si>
    <t>Royalties</t>
  </si>
  <si>
    <t>Royalties (% of revenue)</t>
  </si>
  <si>
    <t>Project Revenue, All Sources</t>
  </si>
  <si>
    <t xml:space="preserve">Total Operating Expenses </t>
  </si>
  <si>
    <t>EBITDA (Operating Income)</t>
  </si>
  <si>
    <t>Principal Repayments</t>
  </si>
  <si>
    <t>Loan Amortization</t>
  </si>
  <si>
    <t xml:space="preserve">Loan Repayment </t>
  </si>
  <si>
    <t>Repayment of Loan Principal</t>
  </si>
  <si>
    <t>Loan Interest Expense</t>
  </si>
  <si>
    <t>Net Pre-Tax Cash Flow to Equity</t>
  </si>
  <si>
    <t>Project/Contract Year</t>
  </si>
  <si>
    <t>Depreciation Schedules, Half-Year Convention</t>
  </si>
  <si>
    <t>7 Year MACRS</t>
  </si>
  <si>
    <t>5 Year SL</t>
  </si>
  <si>
    <t>15 Year SL</t>
  </si>
  <si>
    <t>7-year MACRS</t>
  </si>
  <si>
    <t>20-year MACRS</t>
  </si>
  <si>
    <t>5-year SL</t>
  </si>
  <si>
    <t>39-year SL</t>
  </si>
  <si>
    <t>Allocation</t>
  </si>
  <si>
    <t xml:space="preserve">ITC or Cash Grant  </t>
  </si>
  <si>
    <t>check</t>
  </si>
  <si>
    <t>Total Installed Cost</t>
  </si>
  <si>
    <t>No</t>
  </si>
  <si>
    <t>PBI Rate</t>
  </si>
  <si>
    <t>Federal Income Taxes Saved / (Paid), before ITC/PTC</t>
  </si>
  <si>
    <t>Running IRR (After Tax)</t>
  </si>
  <si>
    <t>After-Tax Cash Flow to Equity</t>
  </si>
  <si>
    <t>Cash Benefit of State ITC and/or PTC</t>
  </si>
  <si>
    <t>PBI Escalation Rate</t>
  </si>
  <si>
    <t>Federal PBI Escalator, if applicable</t>
  </si>
  <si>
    <t>State PBI Escalator, if applicable</t>
  </si>
  <si>
    <t>Reserve Accounts:</t>
  </si>
  <si>
    <t>Interest on All Reserves</t>
  </si>
  <si>
    <t>Annual Debt Service Coverage Ratio</t>
  </si>
  <si>
    <t>Depreciation:</t>
  </si>
  <si>
    <t>Annual Depreciation Expense, Initial Installation</t>
  </si>
  <si>
    <t>Annual Depreciation Expense, Repairs &amp; Replacements</t>
  </si>
  <si>
    <t>1st Replacement</t>
  </si>
  <si>
    <t>2nd Replacement</t>
  </si>
  <si>
    <t>Depreciation Timing</t>
  </si>
  <si>
    <t>Depreciation Expense</t>
  </si>
  <si>
    <t>Tax</t>
  </si>
  <si>
    <t>After Tax Cash Flow</t>
  </si>
  <si>
    <t>Reserves</t>
  </si>
  <si>
    <t>PBI Utilization Factor, if applicable</t>
  </si>
  <si>
    <t>Capital Costs</t>
  </si>
  <si>
    <t>Generation Equipment</t>
  </si>
  <si>
    <t>Depreciation Classification</t>
  </si>
  <si>
    <t>Balance of Plant</t>
  </si>
  <si>
    <t>Interconnection</t>
  </si>
  <si>
    <t>Development Costs &amp; Fee</t>
  </si>
  <si>
    <t>Total Generation Equipment Cost</t>
  </si>
  <si>
    <t>Total Project Costs</t>
  </si>
  <si>
    <t>Total Balance of Plant Cost</t>
  </si>
  <si>
    <t>Total Interconnection Cost</t>
  </si>
  <si>
    <t>$ Eligible for ITC</t>
  </si>
  <si>
    <t>Lender Fee</t>
  </si>
  <si>
    <t>Initial Funding of Debt Service &amp; Working Capital/O&amp;M Reserves</t>
  </si>
  <si>
    <t>Total Development Costs &amp; Fees</t>
  </si>
  <si>
    <t>Other Closing Costs</t>
  </si>
  <si>
    <t>Other Grants or Rebates</t>
  </si>
  <si>
    <t>State Income Taxes Saved / (Paid), before ITC/PTC</t>
  </si>
  <si>
    <t>Title:</t>
  </si>
  <si>
    <t>Introduction:</t>
  </si>
  <si>
    <t>Yr 1 COE</t>
  </si>
  <si>
    <t>Interest Earned on Reserve Accounts</t>
  </si>
  <si>
    <t>O&amp;M/Working Capital Reserve</t>
  </si>
  <si>
    <t>Interest on Reserves</t>
  </si>
  <si>
    <t>Annual Contributions to/(Liquidations of) Reserves</t>
  </si>
  <si>
    <t>(Contributions to), and Liquidation of, Reserve Accounts</t>
  </si>
  <si>
    <t>Adjustment(s) for Major Equipment Replacement(s)</t>
  </si>
  <si>
    <t>Annual Depreciation Benefit</t>
  </si>
  <si>
    <t>Model Architecture:</t>
  </si>
  <si>
    <t>Black Text is strictly reserved for cells that are calculated automatically . These cells should not be modified.</t>
  </si>
  <si>
    <t>Pass/Fail</t>
  </si>
  <si>
    <t>Min DSCR</t>
  </si>
  <si>
    <t>Taxable Entity? (turns on/off ITC and depreciation input cells)</t>
  </si>
  <si>
    <t>Construction Financing</t>
  </si>
  <si>
    <t>Federal PTC (as generated)</t>
  </si>
  <si>
    <t>State PTC (as generated)</t>
  </si>
  <si>
    <t>Version:</t>
  </si>
  <si>
    <t>Entering Inputs:  Model Conventions</t>
  </si>
  <si>
    <t>In the "Check" column, green cells are used to indicate that the user has entered an acceptable value in a required field.</t>
  </si>
  <si>
    <t>Annual Escalation of Year-One COE</t>
  </si>
  <si>
    <t>% of Year-One Tariff Rate Escalated</t>
  </si>
  <si>
    <t>Project Management Yr 1</t>
  </si>
  <si>
    <t xml:space="preserve">ITC Amount </t>
  </si>
  <si>
    <t>Paste Results of Multiple Model Runs Below</t>
  </si>
  <si>
    <t>[Insert Scenario Name]</t>
  </si>
  <si>
    <t>Results of multiple scenarios may be compared here by using the "copy" and "paste special - values" feature to transfer values from column D to columns F through O</t>
  </si>
  <si>
    <t>Interest Rate on Term Debt</t>
  </si>
  <si>
    <t>Initial Period ends last day of:</t>
  </si>
  <si>
    <t>O&amp;M Cost Inflation, thereafter</t>
  </si>
  <si>
    <t>O&amp;M Cost Inflation, initial period</t>
  </si>
  <si>
    <t>Fixed O&amp;M Expense, Yr 1</t>
  </si>
  <si>
    <t>Project Useful Life</t>
  </si>
  <si>
    <t>Value of energy, capacity &amp; RECs, Yr 1</t>
  </si>
  <si>
    <t>Market Value Escalation Rate</t>
  </si>
  <si>
    <t>Year-by-Year Inputs for Market Value of Production, if applicable</t>
  </si>
  <si>
    <t>Complex Inputs for Deriving Total Project Capital Cost, if applicable</t>
  </si>
  <si>
    <t>* Includes energy, capacity &amp; RECs</t>
  </si>
  <si>
    <t>Market Revenue</t>
  </si>
  <si>
    <t>Post-Tariff Market Value of Production</t>
  </si>
  <si>
    <t>Required Minimum Annual DSCR</t>
  </si>
  <si>
    <t>Actual Minimum DSCR, occurs in →</t>
  </si>
  <si>
    <t xml:space="preserve">ITC or Cash Grant Amount </t>
  </si>
  <si>
    <t>Tariff or Market Value</t>
  </si>
  <si>
    <t>Project</t>
  </si>
  <si>
    <t>Summary Results</t>
  </si>
  <si>
    <t>Taxable Income / (Operating Loss)</t>
  </si>
  <si>
    <t>Operating Loss Carry-Forward, if applicable:</t>
  </si>
  <si>
    <t>Utilization of Operating Loss Carry-Forward</t>
  </si>
  <si>
    <t>Operating Loss Carry-Forward, Beginning Balance</t>
  </si>
  <si>
    <t>Additional Operating Loss Carried-Forward</t>
  </si>
  <si>
    <t>Operating Loss Carry-Forward, Ending Balance</t>
  </si>
  <si>
    <t>Taxable Income with Operating Loss Carry-Forward</t>
  </si>
  <si>
    <t>Annual Depreciation Expense</t>
  </si>
  <si>
    <t>Federal Tax Credit Benefits, if applicable:</t>
  </si>
  <si>
    <t>Federal ITC (as generated)</t>
  </si>
  <si>
    <t>State ITC (as generated)</t>
  </si>
  <si>
    <t>Applicable Tax Credits, as generated</t>
  </si>
  <si>
    <t>Carry-Forward Scenario:</t>
  </si>
  <si>
    <t>State Tax Credit Benefits, if applicable:</t>
  </si>
  <si>
    <t>Performance, Cost, Operating, Tax &amp; Financing Inputs</t>
  </si>
  <si>
    <t>State Grants Treated as Taxable Income?</t>
  </si>
  <si>
    <t>Federal Grants Treated as Taxable Income?</t>
  </si>
  <si>
    <t>Annual Property Tax Adjustment Factor</t>
  </si>
  <si>
    <t>Property Tax or PILOT, Yr 1</t>
  </si>
  <si>
    <t>% Debt (% of hard costs) (mortgage-style amort.)</t>
  </si>
  <si>
    <t>Senior Debt (funds portion of hard costs)</t>
  </si>
  <si>
    <t>Equity (funds balance of hard costs + all soft costs)</t>
  </si>
  <si>
    <t>Summary of Sources of Funding for Total Installed Cost</t>
  </si>
  <si>
    <t>Actual Average DSCR</t>
  </si>
  <si>
    <t>Required Average DSCR</t>
  </si>
  <si>
    <t>Select Market Value Forecast Methodology</t>
  </si>
  <si>
    <t>Project Year</t>
  </si>
  <si>
    <t>1st Replacement Cost  ($ in year replaced)</t>
  </si>
  <si>
    <t>2nd Replacement Cost ($ in year replaced)</t>
  </si>
  <si>
    <t>Bundled* Market Value of Production (¢/kWh)</t>
  </si>
  <si>
    <t>Avg. DSCR</t>
  </si>
  <si>
    <t>Tariff Rate (Fixed Portion)</t>
  </si>
  <si>
    <t>Tariff Rate (Total)</t>
  </si>
  <si>
    <t>Tariff Rate (Escalating Portion)</t>
  </si>
  <si>
    <t>Equity Investment</t>
  </si>
  <si>
    <t>Pre-Tax Cash Flow</t>
  </si>
  <si>
    <t>Expenses + Cash Obligations</t>
  </si>
  <si>
    <t>Graph Data</t>
  </si>
  <si>
    <t>Operating the Model:</t>
  </si>
  <si>
    <t>Understanding the Results:</t>
  </si>
  <si>
    <t>Cash Benefit of Federal ITC, Cash Grant, or PTC</t>
  </si>
  <si>
    <t>Target After-Tax Equity IRR</t>
  </si>
  <si>
    <t>COE Data Tables</t>
  </si>
  <si>
    <t>NPV</t>
  </si>
  <si>
    <t>(cents/kWh)</t>
  </si>
  <si>
    <t>Range Min</t>
  </si>
  <si>
    <t>Range Max</t>
  </si>
  <si>
    <t>Calculation of COE when tax benefits are "Carried Forward"</t>
  </si>
  <si>
    <t>Production, Yr 1</t>
  </si>
  <si>
    <t>Tax Benefit Carry-Forward, Beginning Balance</t>
  </si>
  <si>
    <t>Additional Tax Benefit Carry-Forward</t>
  </si>
  <si>
    <t>Utilization of Tax Benefit Carry-Forward</t>
  </si>
  <si>
    <t>Tax Benefit Carry-Forward, Ending Balance</t>
  </si>
  <si>
    <r>
      <t xml:space="preserve">Taxable Income </t>
    </r>
    <r>
      <rPr>
        <sz val="12"/>
        <rFont val="Arial"/>
        <family val="2"/>
      </rPr>
      <t>(operating loss used as generated)</t>
    </r>
  </si>
  <si>
    <r>
      <t>Taxable Income (Federal)</t>
    </r>
    <r>
      <rPr>
        <sz val="12"/>
        <rFont val="Arial"/>
        <family val="2"/>
      </rPr>
      <t>,           operating loss treatment ==&gt;&gt;</t>
    </r>
  </si>
  <si>
    <r>
      <t>Taxable Income (State),</t>
    </r>
    <r>
      <rPr>
        <sz val="12"/>
        <rFont val="Arial"/>
        <family val="2"/>
      </rPr>
      <t xml:space="preserve">               operating loss treatment ==&gt;&gt;</t>
    </r>
  </si>
  <si>
    <t>Federal Tax Benefits used as generated or carried forward?</t>
  </si>
  <si>
    <t>State Tax Benefits used as generated or carried forward?</t>
  </si>
  <si>
    <t>Federal Carry-Forward</t>
  </si>
  <si>
    <t>State Carry-Forward</t>
  </si>
  <si>
    <t>Minimum DSSCR Year</t>
  </si>
  <si>
    <t>Units</t>
  </si>
  <si>
    <t>Unit Definitions</t>
  </si>
  <si>
    <t>Pass/Fail – denotes whether the two debt service coverage ratio tests have passed or failed.</t>
  </si>
  <si>
    <t>(kW) kilowatt – a standard measure of electrical capacity, equal to 1000 Watts.</t>
  </si>
  <si>
    <t>(kWh) kilowatt hour – a standard measure of electrical output. A 1 kW generator operating at rated capacity for one hour will produce 1 kWh of electricity.</t>
  </si>
  <si>
    <t>(¢/kWh) –cents per kilowatt hour</t>
  </si>
  <si>
    <t>(%) – an input with units expressed as a percentage</t>
  </si>
  <si>
    <t>(years or year) – an input applicable to a specified duration or project year</t>
  </si>
  <si>
    <t>($/yr) – inputs measured in dollars and applied annually</t>
  </si>
  <si>
    <t>(months) –designates the number of months to which an input applies</t>
  </si>
  <si>
    <r>
      <t xml:space="preserve">Does modeled project meet </t>
    </r>
    <r>
      <rPr>
        <b/>
        <i/>
        <sz val="11"/>
        <color theme="1"/>
        <rFont val="Arial"/>
        <family val="2"/>
      </rPr>
      <t>minimum</t>
    </r>
    <r>
      <rPr>
        <b/>
        <sz val="11"/>
        <color theme="1"/>
        <rFont val="Arial"/>
        <family val="2"/>
      </rPr>
      <t xml:space="preserve"> DSCR requirements?</t>
    </r>
  </si>
  <si>
    <r>
      <t xml:space="preserve">Does modeled project meet </t>
    </r>
    <r>
      <rPr>
        <b/>
        <i/>
        <sz val="11"/>
        <color theme="1"/>
        <rFont val="Arial"/>
        <family val="2"/>
      </rPr>
      <t>average</t>
    </r>
    <r>
      <rPr>
        <b/>
        <sz val="11"/>
        <color theme="1"/>
        <rFont val="Arial"/>
        <family val="2"/>
      </rPr>
      <t xml:space="preserve"> DSCR requirements?</t>
    </r>
  </si>
  <si>
    <t>Investment Tax Credit (ITC) or Cash Grant?</t>
  </si>
  <si>
    <t>Type of Federal Incentive Assumed</t>
  </si>
  <si>
    <t>Is PBI Tax-Based (PTC) or Cash-Based (REPI)?</t>
  </si>
  <si>
    <t>Is Performance-Based Incentive Tax Credit or Cash Pmt?</t>
  </si>
  <si>
    <t>Click Here for Complex Input Worksheet</t>
  </si>
  <si>
    <t>($/kW-yr) – an annual expense (or revenue) based on generator capacity</t>
  </si>
  <si>
    <t>($) – All CREST model values are in nominal dollars</t>
  </si>
  <si>
    <t>Weighted Average Cost of Capital (WACC)</t>
  </si>
  <si>
    <t>Click Here for Complex Input Worksheets</t>
  </si>
  <si>
    <t>Year One</t>
  </si>
  <si>
    <t>As Generated</t>
  </si>
  <si>
    <r>
      <t>Total Value of Grants</t>
    </r>
    <r>
      <rPr>
        <sz val="10"/>
        <rFont val="Arial"/>
        <family val="2"/>
      </rPr>
      <t xml:space="preserve"> (excl. pmt in lieu of ITC, if applicable)</t>
    </r>
  </si>
  <si>
    <t>Did you confirm that all minimum required inputs have green check cells?</t>
  </si>
  <si>
    <t>Insurance, Yr 1 ($) (Provided for reference)</t>
  </si>
  <si>
    <t>Royalties, Yr 1 ($) (Provided for reference)</t>
  </si>
  <si>
    <r>
      <rPr>
        <b/>
        <sz val="12"/>
        <color theme="4"/>
        <rFont val="Calibri"/>
        <family val="2"/>
        <scheme val="minor"/>
      </rPr>
      <t>Blue Bold Text</t>
    </r>
    <r>
      <rPr>
        <sz val="12"/>
        <color theme="1"/>
        <rFont val="Calibri"/>
        <family val="2"/>
        <scheme val="minor"/>
      </rPr>
      <t xml:space="preserve"> denotes user-defined inputs.  The user is responsible for modifying these cells to be consistent with the project being evaluated.</t>
    </r>
  </si>
  <si>
    <t>Conversely, red cells appearing in the "Check" column indicate that a required cell is blank or contains an invalid argument which requires the user's attention.</t>
  </si>
  <si>
    <t>Yellow boxes are used to highlight input choices the model user must make via a dropdown menu.</t>
  </si>
  <si>
    <t>The "Notes" column, populated with boxes showing a "?", contains a combination of definitions, explanations and ranges of typical values for most inputs.  To read a note, the users need only move the cursor onto the applicable cell.  The user is strongly encouraged to review all of these comments in order to understand key features of the CREST model.</t>
  </si>
  <si>
    <t>The output of this model is the all-in payment required to cover all expenses and meet the project investors' after-tax return requirements over the specified number of years. This payment can be used to inform the feed-in tariff rate-setting process.  The payment can either be expressed as a  ‘Year One’ value of which all, or a designated portion, escalates each year during the tariff's duration at a defined rate, or as a "nominal levelized" value (where zero annual escalation is assumed).  The model output is always expressed in cents/kWh.  It is important to note that this calculated tariff rate is net of other assumed incentives, such as federal tax credits and state grants.</t>
  </si>
  <si>
    <t>Press F9 each time inputs are changed to ensure completion of the COE calculation.  
When "#N/A" appears,  press "F9" in the upper row on your keyboard to complete the calculation.  It may be necessary to press F9 more than once. See note for details.</t>
  </si>
  <si>
    <t>Minimum DSCR Check Cell (If "Fail," read note ==&gt;)</t>
  </si>
  <si>
    <t>Average DSCR Check Cell (If "Fail," read note ==&gt;)</t>
  </si>
  <si>
    <t>Input Value</t>
  </si>
  <si>
    <t>Input Values</t>
  </si>
  <si>
    <r>
      <t xml:space="preserve">% Equity (% hard costs) </t>
    </r>
    <r>
      <rPr>
        <sz val="11"/>
        <rFont val="Arial"/>
        <family val="2"/>
      </rPr>
      <t>(soft costs also equity funded)</t>
    </r>
  </si>
  <si>
    <t>$/kW-yr</t>
  </si>
  <si>
    <t>kW</t>
  </si>
  <si>
    <t>$/kW</t>
  </si>
  <si>
    <t>Cost of Renewable Energy Spreadsheet Tool (CREST)</t>
  </si>
  <si>
    <t>Land Lease</t>
  </si>
  <si>
    <t>Adjustment to Cost Basis for ITC &amp; Non-taxable Grants</t>
  </si>
  <si>
    <t>Bonus Depreciation</t>
  </si>
  <si>
    <t>% of Bonus Depreciation applied in Year 1</t>
  </si>
  <si>
    <t>Allocation of Costs</t>
  </si>
  <si>
    <t>Project Cost Allocation</t>
  </si>
  <si>
    <t>Before</t>
  </si>
  <si>
    <t xml:space="preserve">% </t>
  </si>
  <si>
    <t xml:space="preserve">After </t>
  </si>
  <si>
    <t>Adjustments</t>
  </si>
  <si>
    <t>Unadjusted</t>
  </si>
  <si>
    <t>Adjusted</t>
  </si>
  <si>
    <t>Project Cost Basis</t>
  </si>
  <si>
    <t>User Manual:</t>
  </si>
  <si>
    <t>Examples:</t>
  </si>
  <si>
    <t>Input Format</t>
  </si>
  <si>
    <t>Calculated Value Format</t>
  </si>
  <si>
    <t>Drop-Down Menu</t>
  </si>
  <si>
    <r>
      <t xml:space="preserve">Once a user has finished entering the characteristics of the project under review on the "Inputs" tab, the model will automatically calculate both the "Year One" and equivalent "Levelized Cost of Energy" -- as defined and discussed in the User Manual.  MS Excel's "Calculation Options" </t>
    </r>
    <r>
      <rPr>
        <b/>
        <sz val="12"/>
        <color theme="1"/>
        <rFont val="Calibri"/>
        <family val="2"/>
        <scheme val="minor"/>
      </rPr>
      <t>MUST</t>
    </r>
    <r>
      <rPr>
        <sz val="12"/>
        <color theme="1"/>
        <rFont val="Calibri"/>
        <family val="2"/>
        <scheme val="minor"/>
      </rPr>
      <t xml:space="preserve"> be set to "</t>
    </r>
    <r>
      <rPr>
        <u/>
        <sz val="12"/>
        <color theme="1"/>
        <rFont val="Calibri"/>
        <family val="2"/>
        <scheme val="minor"/>
      </rPr>
      <t>Automatic</t>
    </r>
    <r>
      <rPr>
        <sz val="12"/>
        <color theme="1"/>
        <rFont val="Calibri"/>
        <family val="2"/>
        <scheme val="minor"/>
      </rPr>
      <t xml:space="preserve">" in order for these results to be generated automatically.  If "Calculation Options" are not set to "Automatic," then the user will need to press "F9" </t>
    </r>
    <r>
      <rPr>
        <u/>
        <sz val="12"/>
        <color theme="1"/>
        <rFont val="Calibri"/>
        <family val="2"/>
        <scheme val="minor"/>
      </rPr>
      <t>after any input is changed</t>
    </r>
    <r>
      <rPr>
        <sz val="12"/>
        <color theme="1"/>
        <rFont val="Calibri"/>
        <family val="2"/>
        <scheme val="minor"/>
      </rPr>
      <t>, in order to calculate accurate results. Even when the Calculations Options are set to Automatic, there are circumstances in which F9 will need to be pressed one or more times in order to complete the calculation.  This is described in more detail in the note towards the top of the Summary Results worksheet. 
Results appear on the "Summary Results" worksheet.  In an effort to allow the user to perform a side-by-side review of multiple cases, the "Summary Results" tab has columns for multiple results. The user is encouraged to copy and paste results from column D into columns F-O as multiple scenarios are run.  This is accomplished by using the "copy" and then "paste special -- values" features in Excel.</t>
    </r>
  </si>
  <si>
    <t>PBI Utilization or Availability Factor, if applicable</t>
  </si>
  <si>
    <t>Federal Taxable Income</t>
  </si>
  <si>
    <t>State Taxable Income</t>
  </si>
  <si>
    <t>Federal Tax 
Benefit/ (Liability)</t>
  </si>
  <si>
    <t>State Tax 
Benefit/ (Liability)</t>
  </si>
  <si>
    <t>Revenue + Tax Benefit/(Liability)</t>
  </si>
  <si>
    <t>Pre-Tax (Cash-only) Equity IRR (over defined Useful Life)</t>
  </si>
  <si>
    <t>After Tax Equity IRR (over defined Useful Life)</t>
  </si>
  <si>
    <t>Notes: (Users may enter descriptive text about their model run)</t>
  </si>
  <si>
    <t>3rd Replacement Cost ($ in year replaced)</t>
  </si>
  <si>
    <t>4th Replacement Cost ($ in year replaced)</t>
  </si>
  <si>
    <t>3rd Replacement</t>
  </si>
  <si>
    <t>4th Replacement</t>
  </si>
  <si>
    <t>Major Equipment Replacement Reserves #1</t>
  </si>
  <si>
    <t>Major Equipment Replacement Reserves #2</t>
  </si>
  <si>
    <t>Major Equipment Replacement Reserves #3</t>
  </si>
  <si>
    <t>Major Equipment Replacement Reserves #4</t>
  </si>
  <si>
    <t>(max funding period, yrs)</t>
  </si>
  <si>
    <t>The CREST model consists of six worksheets: (1) Introduction: An overview of the CREST model, (2) Inputs: The interface for nearly all user-defined assumptions, (3) Summary Results: A framework for storing the output (results) and associated key inputs of multiple model runs, (4) Annual Cash Flows &amp; Returns: Provides a summary of the modeled project's annual cash flows, (5) Cash Flow: The formula calculations, or "guts", of the model; derives all project cash and tax benefits, and (6) Complex Inputs: This worksheet is only used if the user elects to include a detailed breakdown of project costs; this choice is selected by the user on the Inputs tab. Users should expect to work primarily with the "Inputs" and the "Summary Results" worksheets, although the other tabs and summaries are also expected to be useful during the policy-making process.</t>
  </si>
  <si>
    <t>http://dsireusa.org/</t>
  </si>
  <si>
    <t>http://dsireusa.org/incentives/incentive.cfm?Incentive_Code=US02F&amp;re=1&amp;ee=1</t>
  </si>
  <si>
    <t>http://dsireusa.org/incentives/index.cfm?state=us&amp;re=1&amp;EE=1</t>
  </si>
  <si>
    <t>Summary of Reference Links From Inputs Worksheet</t>
  </si>
  <si>
    <t>Several of the input-specific "Notes" on the Inputs worksheet contain hyperlinks.  Since these hyperlinks are not operable when placed within the MS Excel notes feature, they are duplicated here for the user's convenience.</t>
  </si>
  <si>
    <t>DSIRE</t>
  </si>
  <si>
    <t>DSIRE: Tax/Grants</t>
  </si>
  <si>
    <t>DSIRE: Other Fed Incentives</t>
  </si>
  <si>
    <t>Total State ITC, over realization period</t>
  </si>
  <si>
    <t>Cost-Based Tariff Rate Structure</t>
  </si>
  <si>
    <t>Cost-Based Tariff Escalation Rate</t>
  </si>
  <si>
    <t xml:space="preserve">http://financere.nrel.gov/finance/content/crest-model </t>
  </si>
  <si>
    <t>The remainder of this Introduction worksheet provides an abridged version of the User Manual.</t>
  </si>
  <si>
    <r>
      <t xml:space="preserve">The CREST model comes with a User Manual which describes its design, features, inputs and outputs.  The manual is intended to provide an easy to follow road map to users who might not typically work with financial analyses,  to ensure successful utilization of this Cost of Energy tool.  The User Manual gives a "guided tour" of the model architecture, provides an explanation of how to operate the model, compare multiple analyses, and understand the results.  The User Manual is available to download at: </t>
    </r>
    <r>
      <rPr>
        <sz val="12"/>
        <color theme="1"/>
        <rFont val="Calibri"/>
        <family val="2"/>
        <scheme val="minor"/>
      </rPr>
      <t xml:space="preserve">
</t>
    </r>
  </si>
  <si>
    <t>RETI Cost of Generation Spreadsheet</t>
  </si>
  <si>
    <t>Vermont Standard Offer Models</t>
  </si>
  <si>
    <t>RETScreen</t>
  </si>
  <si>
    <t>Gainesville FIT Model</t>
  </si>
  <si>
    <t>Solar Advisor Model (SAM)</t>
  </si>
  <si>
    <t>EU PV Platform</t>
  </si>
  <si>
    <t>Vote Solar Incentive Comparison Model</t>
  </si>
  <si>
    <t>Geothermal Electricity Technology Evaluation Model (GETEM)</t>
  </si>
  <si>
    <t>These models were reviewed primarily to identify best practices which effectively balance ease of use with flexibility and advanced functionality.  In most cases, the helpful modeling techniques identified are not technology-specific, and have influenced the general design of all three CREST models.  Each of the models listed below is discussed in more detail in the report (please see link at the top of this worksheet).</t>
  </si>
  <si>
    <t xml:space="preserve">The CREST model is a cost-of-energy analysis tool intended to assist policy makers evaluating the appropriate payment rate for a cost-based renewable energy incentive policy. The model aims to determine the cost-of-energy, or minimum revenue per unit of production needed for a sample (modeled) renewable energy project to meet its investors' assumed minimum required after-tax rate of return.  This model was developed in conjunction with a report entitled “Renewable Energy Cost Modeling: A Toolkit for Establishing Cost-Based Incentives in the United States”, developed under contract to the National Renewable Energy Laboratory. For more information about the factors, issues and policy decisions involved in establishing cost-based rates and incentives, please refer to the report.
The report, user manual and CREST models are free and available for download at: </t>
  </si>
  <si>
    <r>
      <t xml:space="preserve">Forecasted Market Value of Production; applies </t>
    </r>
    <r>
      <rPr>
        <b/>
        <u/>
        <sz val="12"/>
        <rFont val="Arial"/>
        <family val="2"/>
      </rPr>
      <t>after</t>
    </r>
    <r>
      <rPr>
        <b/>
        <sz val="12"/>
        <rFont val="Arial"/>
        <family val="2"/>
      </rPr>
      <t xml:space="preserve"> Incentive Expiration</t>
    </r>
  </si>
  <si>
    <t>Author:</t>
  </si>
  <si>
    <t>Sustainable Energy Advantage, LLC</t>
  </si>
  <si>
    <t>For Technical Support, Please Contact:</t>
  </si>
  <si>
    <t xml:space="preserve">Michael Mendelsohn, NREL
(303) 384-7363
michael.mendelsohn@nrel.gov </t>
  </si>
  <si>
    <t>For Model Customization, Please Contact:</t>
  </si>
  <si>
    <t xml:space="preserve">Sustainable Energy Advantage, LLC
(508) 665-5850
CREST@seadvantage.com </t>
  </si>
  <si>
    <t>Total Installed Cost (before grants, if applicable)</t>
  </si>
  <si>
    <t>Cash</t>
  </si>
  <si>
    <t>Payment Duration for Cost-Based Tariff</t>
  </si>
  <si>
    <t>Tax Credit-  or Cash- Based?</t>
  </si>
  <si>
    <t>% of Year 1 Tariff Rate Escalated</t>
  </si>
  <si>
    <t>Net Installed Cost (Total Installed Cost less Grants)</t>
  </si>
  <si>
    <t>Operating Expenses, Aggregated, Yr 1</t>
  </si>
  <si>
    <t>Debt Term</t>
  </si>
  <si>
    <t>Federal Tax Benefts Used "as generated" or "carried forward"?</t>
  </si>
  <si>
    <t>State Tax Benefts Used "as generated" or "carried forward"?</t>
  </si>
  <si>
    <t>Total of Grants or Rebates</t>
  </si>
  <si>
    <t>Bonus Depreciation assumed?</t>
  </si>
  <si>
    <r>
      <rPr>
        <sz val="11"/>
        <color theme="1"/>
        <rFont val="Calibri"/>
        <family val="2"/>
      </rPr>
      <t>¢</t>
    </r>
    <r>
      <rPr>
        <i/>
        <sz val="11"/>
        <color theme="1"/>
        <rFont val="Arial"/>
        <family val="2"/>
      </rPr>
      <t>/kWh</t>
    </r>
  </si>
  <si>
    <t>Total $ Cap on State Rebates/Grants</t>
  </si>
  <si>
    <t>Annual $ Cap on Performance-Based Incentive</t>
  </si>
  <si>
    <t>PBI or REC Rate</t>
  </si>
  <si>
    <t>PBI or REC PaymentDuration</t>
  </si>
  <si>
    <t>PBI or REC Escalation Rate (pos. or neg.)</t>
  </si>
  <si>
    <t>State Rebates, Tax Credits and/or REC Revenue</t>
  </si>
  <si>
    <t>Net Year-One Cost of Energy (COE)</t>
  </si>
  <si>
    <t>Net Nominal Levelized Cost of Energy</t>
  </si>
  <si>
    <r>
      <t xml:space="preserve">Additional Federal Grants </t>
    </r>
    <r>
      <rPr>
        <b/>
        <sz val="10"/>
        <rFont val="Arial"/>
        <family val="2"/>
      </rPr>
      <t>(Other than Section 1603)</t>
    </r>
  </si>
  <si>
    <t>Select Form of Federal Incentives</t>
  </si>
  <si>
    <t>Additional State Rebates/Grants</t>
  </si>
  <si>
    <t>Select Form of State Incentive</t>
  </si>
  <si>
    <t>If cash, is state PBI or REC taxable?</t>
  </si>
  <si>
    <t>Summary of Models Reviewed During the Development of the CREST models:</t>
  </si>
  <si>
    <t>BTU/cubic foot</t>
  </si>
  <si>
    <t>cubic feet/year</t>
  </si>
  <si>
    <t>MMBTU/year</t>
  </si>
  <si>
    <t>Intermediate</t>
  </si>
  <si>
    <t>BTU/kWh</t>
  </si>
  <si>
    <t>Energy Content per Cubic Foot</t>
  </si>
  <si>
    <t>Energy Content per Year</t>
  </si>
  <si>
    <t>Availability</t>
  </si>
  <si>
    <t>Station Service (Parasitic Load)</t>
  </si>
  <si>
    <t>All inputs must be provided and validated by the user.</t>
  </si>
  <si>
    <t>Supplemental Revenue</t>
  </si>
  <si>
    <t>Salvage</t>
  </si>
  <si>
    <t>Tax Credit</t>
  </si>
  <si>
    <t>Waste Heat -- Heat Capture Efficiency</t>
  </si>
  <si>
    <t>Waste Heat -- BTUs available for sale</t>
  </si>
  <si>
    <t>Waste Heat Selling Rate Escalation Factor</t>
  </si>
  <si>
    <t>Waste Heat -- Selling Price Escalation Factor</t>
  </si>
  <si>
    <t>$/therm</t>
  </si>
  <si>
    <t>Electricity Production</t>
  </si>
  <si>
    <t>Heat Available for Sale</t>
  </si>
  <si>
    <t>therms</t>
  </si>
  <si>
    <t>Waste Heat -- Selling Price/Avoided Cost</t>
  </si>
  <si>
    <t>Sale/Avoided Cost of Waste Heat</t>
  </si>
  <si>
    <t>% Equity (% hard costs) (soft costs also equity funded)</t>
  </si>
  <si>
    <t># of units</t>
  </si>
  <si>
    <t>#</t>
  </si>
  <si>
    <t>Capacity per Unit</t>
  </si>
  <si>
    <t>Total Generator Nameplate Capacity</t>
  </si>
  <si>
    <t>Fuel Cost Escalation Factor</t>
  </si>
  <si>
    <t xml:space="preserve">Fuel Cost  </t>
  </si>
  <si>
    <t>$/MMBtu</t>
  </si>
  <si>
    <t>Annual Stack Degradation</t>
  </si>
  <si>
    <t>Stack Life</t>
  </si>
  <si>
    <t>Hours</t>
  </si>
  <si>
    <t>1st Re-Stack</t>
  </si>
  <si>
    <t>2nd Re-Stack</t>
  </si>
  <si>
    <t>3rd Re-Stack</t>
  </si>
  <si>
    <t>4th Re-Stack</t>
  </si>
  <si>
    <t>Initial Electrical Conversion Efficiency</t>
  </si>
  <si>
    <t>Adjusted Electrical Conversion Efficiency</t>
  </si>
  <si>
    <t>Annual Adjusted Heat Rate</t>
  </si>
  <si>
    <t>Annual Gas Consumption</t>
  </si>
  <si>
    <t>cubic ft/year</t>
  </si>
  <si>
    <t>Gas Consumption, Year 1</t>
  </si>
  <si>
    <t>Supplemental Revenue Stream: Waste Heat</t>
  </si>
  <si>
    <t>Annual Degradation or Restacking Factor</t>
  </si>
  <si>
    <t>Fuel Cost</t>
  </si>
  <si>
    <t>Electricity Production, Year 1</t>
  </si>
  <si>
    <t>Initial Electrical Conversion Efficiency (Year 1)</t>
  </si>
  <si>
    <t>Initial Heat Rate (Year 1)</t>
  </si>
  <si>
    <t>ITC</t>
  </si>
  <si>
    <t>$/therm- inputs measured in dollars per therm. Therm is a unit of heat energy equal to 100,000 BTUs.</t>
  </si>
  <si>
    <t>cubic feet/year - inputs measured in cubic feet and applied annually</t>
  </si>
  <si>
    <t xml:space="preserve">BTU/kWh-  a measure of the efficiency of a power plants equal to the amount of energy it takes to produce a unit of electricity </t>
  </si>
  <si>
    <t>BTU/cubic foot - the heating value of a gas as defined by the thermal energy per unit volume of the gas</t>
  </si>
  <si>
    <t>Capacity Increase Due To Re-Stacking</t>
  </si>
  <si>
    <t>Cost-Based</t>
  </si>
  <si>
    <t>Neither</t>
  </si>
  <si>
    <t>Simple</t>
  </si>
  <si>
    <t>CapEx During Operations: Fuel Cell Re-stacking (capitalized and depreciated)</t>
  </si>
  <si>
    <t>$/MMBtu - inputs measured in dollars per one million British Thermal Units</t>
  </si>
  <si>
    <t>Version 1.4 removes CREST's password protection. The authors strongly recommend that you save a copy of the model in its original form.  Once altered, modeling results cannot be warranted by NREL or SEA.  For model customization support, please contact Sustainable Energy Advantage, LLC.</t>
  </si>
  <si>
    <t>Update Notice:</t>
  </si>
  <si>
    <t>Fuel Cell, version 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</si>
</sst>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6" formatCode="&quot;$&quot;#,##0_);[Red]\(&quot;$&quot;#,##0\)"/>
    <numFmt numFmtId="8" formatCode="&quot;$&quot;#,##0.00_);[Red]\(&quot;$&quot;#,##0.00\)"/>
    <numFmt numFmtId="41" formatCode="_(* #,##0_);_(* \(#,##0\);_(* &quot;-&quot;_);_(@_)"/>
    <numFmt numFmtId="44" formatCode="_(&quot;$&quot;* #,##0.00_);_(&quot;$&quot;* \(#,##0.00\);_(&quot;$&quot;* &quot;-&quot;??_);_(@_)"/>
    <numFmt numFmtId="43" formatCode="_(* #,##0.00_);_(* \(#,##0.00\);_(* &quot;-&quot;??_);_(@_)"/>
    <numFmt numFmtId="164" formatCode="0.0%"/>
    <numFmt numFmtId="165" formatCode="_(&quot;$&quot;* #,##0_);_(&quot;$&quot;* \(#,##0\);_(&quot;$&quot;* &quot;-&quot;??_);_(@_)"/>
    <numFmt numFmtId="166" formatCode="&quot;Project&quot;\ #"/>
    <numFmt numFmtId="167" formatCode="0\ &quot;kW&quot;"/>
    <numFmt numFmtId="168" formatCode="#\ &quot;Years&quot;"/>
    <numFmt numFmtId="169" formatCode="&quot;$&quot;#,##0"/>
    <numFmt numFmtId="170" formatCode="&quot;$&quot;#.##&quot;/ Watt&quot;"/>
    <numFmt numFmtId="171" formatCode="&quot;$&quot;#,##0.00"/>
    <numFmt numFmtId="172" formatCode="0.0000"/>
    <numFmt numFmtId="173" formatCode="0.000"/>
    <numFmt numFmtId="174" formatCode="_(* #,##0_);_(* \(#,##0\);_(* &quot;-&quot;??_);_(@_)"/>
    <numFmt numFmtId="175" formatCode="0.000000"/>
    <numFmt numFmtId="176" formatCode="&quot;Year&quot;\ #"/>
    <numFmt numFmtId="177" formatCode="0.0"/>
    <numFmt numFmtId="178" formatCode="&quot;Net Present Value @&quot;\ ##.00%\ &quot;(over defined Useful Life)&quot;"/>
  </numFmts>
  <fonts count="95">
    <font>
      <sz val="11"/>
      <color theme="1"/>
      <name val="Calibri"/>
      <family val="2"/>
      <scheme val="minor"/>
    </font>
    <font>
      <sz val="12"/>
      <color theme="1"/>
      <name val="Calibri"/>
      <family val="2"/>
      <scheme val="minor"/>
    </font>
    <font>
      <sz val="11"/>
      <color theme="1"/>
      <name val="Calibri"/>
      <family val="2"/>
      <scheme val="minor"/>
    </font>
    <font>
      <b/>
      <sz val="12"/>
      <name val="Arial"/>
      <family val="2"/>
    </font>
    <font>
      <i/>
      <sz val="12"/>
      <name val="Arial"/>
      <family val="2"/>
    </font>
    <font>
      <b/>
      <sz val="12"/>
      <color indexed="62"/>
      <name val="Arial"/>
      <family val="2"/>
    </font>
    <font>
      <sz val="12"/>
      <name val="Arial"/>
      <family val="2"/>
    </font>
    <font>
      <sz val="12"/>
      <color rgb="FFFF0000"/>
      <name val="Arial"/>
      <family val="2"/>
    </font>
    <font>
      <b/>
      <sz val="14"/>
      <name val="Arial"/>
      <family val="2"/>
    </font>
    <font>
      <b/>
      <sz val="12"/>
      <color theme="3"/>
      <name val="Arial"/>
      <family val="2"/>
    </font>
    <font>
      <b/>
      <i/>
      <sz val="10"/>
      <name val="Arial"/>
      <family val="2"/>
    </font>
    <font>
      <i/>
      <sz val="11"/>
      <name val="Arial"/>
      <family val="2"/>
    </font>
    <font>
      <b/>
      <sz val="12"/>
      <color indexed="56"/>
      <name val="Arial"/>
      <family val="2"/>
    </font>
    <font>
      <b/>
      <sz val="8"/>
      <color indexed="81"/>
      <name val="Tahoma"/>
      <family val="2"/>
    </font>
    <font>
      <sz val="8"/>
      <color indexed="81"/>
      <name val="Tahoma"/>
      <family val="2"/>
    </font>
    <font>
      <b/>
      <sz val="12"/>
      <color rgb="FFFF0000"/>
      <name val="Arial"/>
      <family val="2"/>
    </font>
    <font>
      <b/>
      <sz val="12"/>
      <color theme="0" tint="-0.14999847407452621"/>
      <name val="Arial"/>
      <family val="2"/>
    </font>
    <font>
      <u/>
      <sz val="8.8000000000000007"/>
      <color theme="10"/>
      <name val="Calibri"/>
      <family val="2"/>
    </font>
    <font>
      <b/>
      <sz val="14"/>
      <color indexed="81"/>
      <name val="Tahoma"/>
      <family val="2"/>
    </font>
    <font>
      <sz val="14"/>
      <color indexed="81"/>
      <name val="Tahoma"/>
      <family val="2"/>
    </font>
    <font>
      <sz val="10"/>
      <name val="Arial"/>
      <family val="2"/>
    </font>
    <font>
      <b/>
      <i/>
      <sz val="12"/>
      <name val="Arial"/>
      <family val="2"/>
    </font>
    <font>
      <u/>
      <sz val="12"/>
      <name val="Arial"/>
      <family val="2"/>
    </font>
    <font>
      <b/>
      <sz val="12"/>
      <color indexed="81"/>
      <name val="Tahoma"/>
      <family val="2"/>
    </font>
    <font>
      <b/>
      <sz val="12"/>
      <color theme="4"/>
      <name val="Arial"/>
      <family val="2"/>
    </font>
    <font>
      <b/>
      <sz val="11"/>
      <color rgb="FFFF0000"/>
      <name val="Calibri"/>
      <family val="2"/>
      <scheme val="minor"/>
    </font>
    <font>
      <u/>
      <sz val="14"/>
      <color indexed="81"/>
      <name val="Tahoma"/>
      <family val="2"/>
    </font>
    <font>
      <b/>
      <u/>
      <sz val="12"/>
      <color theme="0" tint="-0.249977111117893"/>
      <name val="Arial"/>
      <family val="2"/>
    </font>
    <font>
      <sz val="12"/>
      <color theme="1"/>
      <name val="Arial"/>
      <family val="2"/>
    </font>
    <font>
      <b/>
      <sz val="12"/>
      <color theme="1"/>
      <name val="Calibri"/>
      <family val="2"/>
      <scheme val="minor"/>
    </font>
    <font>
      <b/>
      <sz val="14"/>
      <color theme="1"/>
      <name val="Calibri"/>
      <family val="2"/>
      <scheme val="minor"/>
    </font>
    <font>
      <b/>
      <sz val="12"/>
      <color indexed="12"/>
      <name val="Arial"/>
      <family val="2"/>
    </font>
    <font>
      <sz val="12"/>
      <color indexed="8"/>
      <name val="Arial"/>
      <family val="2"/>
    </font>
    <font>
      <i/>
      <sz val="12"/>
      <color rgb="FFFF0000"/>
      <name val="Arial"/>
      <family val="2"/>
    </font>
    <font>
      <u/>
      <sz val="18"/>
      <color theme="10"/>
      <name val="Calibri"/>
      <family val="2"/>
    </font>
    <font>
      <b/>
      <sz val="12"/>
      <color indexed="56"/>
      <name val="Times New Roman"/>
      <family val="1"/>
    </font>
    <font>
      <i/>
      <u/>
      <sz val="12"/>
      <name val="Arial"/>
      <family val="2"/>
    </font>
    <font>
      <b/>
      <u/>
      <sz val="12"/>
      <name val="Arial"/>
      <family val="2"/>
    </font>
    <font>
      <b/>
      <sz val="14"/>
      <name val="Tahoma"/>
      <family val="2"/>
    </font>
    <font>
      <b/>
      <i/>
      <sz val="14"/>
      <color rgb="FFC00000"/>
      <name val="Tahoma"/>
      <family val="2"/>
    </font>
    <font>
      <i/>
      <sz val="11"/>
      <color rgb="FFC00000"/>
      <name val="Calibri"/>
      <family val="2"/>
      <scheme val="minor"/>
    </font>
    <font>
      <b/>
      <i/>
      <sz val="11"/>
      <color rgb="FFC00000"/>
      <name val="Calibri"/>
      <family val="2"/>
      <scheme val="minor"/>
    </font>
    <font>
      <b/>
      <i/>
      <sz val="12"/>
      <color theme="4"/>
      <name val="Arial"/>
      <family val="2"/>
    </font>
    <font>
      <sz val="12"/>
      <color rgb="FFC00000"/>
      <name val="Arial"/>
      <family val="2"/>
    </font>
    <font>
      <b/>
      <sz val="12"/>
      <color theme="1"/>
      <name val="Arial"/>
      <family val="2"/>
    </font>
    <font>
      <sz val="12"/>
      <color theme="1"/>
      <name val="Calibri"/>
      <family val="2"/>
      <scheme val="minor"/>
    </font>
    <font>
      <b/>
      <sz val="12"/>
      <color rgb="FFFF0000"/>
      <name val="Calibri"/>
      <family val="2"/>
      <scheme val="minor"/>
    </font>
    <font>
      <sz val="12"/>
      <color rgb="FFFF0000"/>
      <name val="Calibri"/>
      <family val="2"/>
      <scheme val="minor"/>
    </font>
    <font>
      <b/>
      <sz val="12"/>
      <color theme="4"/>
      <name val="Calibri"/>
      <family val="2"/>
      <scheme val="minor"/>
    </font>
    <font>
      <sz val="11"/>
      <color theme="1"/>
      <name val="Arial"/>
      <family val="2"/>
    </font>
    <font>
      <b/>
      <sz val="14"/>
      <color theme="1"/>
      <name val="Arial"/>
      <family val="2"/>
    </font>
    <font>
      <b/>
      <sz val="11"/>
      <color theme="1"/>
      <name val="Arial"/>
      <family val="2"/>
    </font>
    <font>
      <b/>
      <sz val="11"/>
      <name val="Arial"/>
      <family val="2"/>
    </font>
    <font>
      <sz val="11"/>
      <name val="Arial"/>
      <family val="2"/>
    </font>
    <font>
      <b/>
      <i/>
      <sz val="11"/>
      <name val="Arial"/>
      <family val="2"/>
    </font>
    <font>
      <i/>
      <sz val="11"/>
      <color theme="1"/>
      <name val="Arial"/>
      <family val="2"/>
    </font>
    <font>
      <b/>
      <i/>
      <sz val="11"/>
      <color rgb="FFC00000"/>
      <name val="Arial"/>
      <family val="2"/>
    </font>
    <font>
      <b/>
      <sz val="11"/>
      <color theme="4"/>
      <name val="Arial"/>
      <family val="2"/>
    </font>
    <font>
      <i/>
      <sz val="12"/>
      <color theme="0" tint="-0.499984740745262"/>
      <name val="Arial"/>
      <family val="2"/>
    </font>
    <font>
      <b/>
      <sz val="12"/>
      <color theme="0"/>
      <name val="Arial"/>
      <family val="2"/>
    </font>
    <font>
      <b/>
      <i/>
      <u/>
      <sz val="12"/>
      <name val="Arial"/>
      <family val="2"/>
    </font>
    <font>
      <b/>
      <sz val="12"/>
      <name val="Tahoma"/>
      <family val="2"/>
    </font>
    <font>
      <sz val="14"/>
      <name val="Arial"/>
      <family val="2"/>
    </font>
    <font>
      <b/>
      <i/>
      <sz val="12"/>
      <color theme="0" tint="-0.249977111117893"/>
      <name val="Arial"/>
      <family val="2"/>
    </font>
    <font>
      <i/>
      <sz val="10"/>
      <color theme="0" tint="-0.499984740745262"/>
      <name val="Arial"/>
      <family val="2"/>
    </font>
    <font>
      <b/>
      <u/>
      <sz val="12"/>
      <color theme="0"/>
      <name val="Arial"/>
      <family val="2"/>
    </font>
    <font>
      <i/>
      <sz val="11"/>
      <color theme="0" tint="-0.34998626667073579"/>
      <name val="Arial"/>
      <family val="2"/>
    </font>
    <font>
      <b/>
      <sz val="8"/>
      <name val="Arial"/>
      <family val="2"/>
    </font>
    <font>
      <sz val="12"/>
      <color theme="0" tint="-0.14999847407452621"/>
      <name val="Arial"/>
      <family val="2"/>
    </font>
    <font>
      <i/>
      <sz val="12"/>
      <color theme="0" tint="-0.14999847407452621"/>
      <name val="Arial"/>
      <family val="2"/>
    </font>
    <font>
      <sz val="12"/>
      <color theme="0"/>
      <name val="Arial"/>
      <family val="2"/>
    </font>
    <font>
      <i/>
      <sz val="12"/>
      <color theme="1"/>
      <name val="Arial"/>
      <family val="2"/>
    </font>
    <font>
      <b/>
      <i/>
      <sz val="11"/>
      <color theme="1"/>
      <name val="Arial"/>
      <family val="2"/>
    </font>
    <font>
      <b/>
      <u/>
      <sz val="12"/>
      <color theme="0" tint="-0.14999847407452621"/>
      <name val="Arial"/>
      <family val="2"/>
    </font>
    <font>
      <u/>
      <sz val="12"/>
      <color theme="10"/>
      <name val="Arial"/>
      <family val="2"/>
    </font>
    <font>
      <b/>
      <u/>
      <sz val="12"/>
      <color theme="10"/>
      <name val="Arial"/>
      <family val="2"/>
    </font>
    <font>
      <sz val="12"/>
      <color indexed="81"/>
      <name val="Tahoma"/>
      <family val="2"/>
    </font>
    <font>
      <b/>
      <i/>
      <sz val="11"/>
      <color rgb="FF00B050"/>
      <name val="Arial"/>
      <family val="2"/>
    </font>
    <font>
      <b/>
      <i/>
      <sz val="14"/>
      <color indexed="81"/>
      <name val="Tahoma"/>
      <family val="2"/>
    </font>
    <font>
      <u/>
      <sz val="12"/>
      <color theme="1"/>
      <name val="Calibri"/>
      <family val="2"/>
      <scheme val="minor"/>
    </font>
    <font>
      <b/>
      <sz val="12"/>
      <color theme="0" tint="-0.249977111117893"/>
      <name val="Arial"/>
      <family val="2"/>
    </font>
    <font>
      <sz val="12"/>
      <color theme="0" tint="-0.249977111117893"/>
      <name val="Arial"/>
      <family val="2"/>
    </font>
    <font>
      <b/>
      <sz val="11"/>
      <color rgb="FFFFFF00"/>
      <name val="Arial"/>
      <family val="2"/>
    </font>
    <font>
      <b/>
      <u/>
      <sz val="14"/>
      <color indexed="81"/>
      <name val="Tahoma"/>
      <family val="2"/>
    </font>
    <font>
      <b/>
      <sz val="12"/>
      <color theme="3"/>
      <name val="Calibri"/>
      <family val="2"/>
      <scheme val="minor"/>
    </font>
    <font>
      <b/>
      <i/>
      <u/>
      <sz val="12"/>
      <color theme="1"/>
      <name val="Calibri"/>
      <family val="2"/>
      <scheme val="minor"/>
    </font>
    <font>
      <b/>
      <sz val="14"/>
      <color rgb="FFFF0000"/>
      <name val="Calibri"/>
      <family val="2"/>
      <scheme val="minor"/>
    </font>
    <font>
      <u/>
      <sz val="12"/>
      <color theme="10"/>
      <name val="Calibri"/>
      <family val="2"/>
    </font>
    <font>
      <b/>
      <i/>
      <sz val="12"/>
      <color theme="1"/>
      <name val="Calibri"/>
      <family val="2"/>
      <scheme val="minor"/>
    </font>
    <font>
      <b/>
      <sz val="11"/>
      <color rgb="FFFF0000"/>
      <name val="Arial"/>
      <family val="2"/>
    </font>
    <font>
      <sz val="11"/>
      <color theme="1"/>
      <name val="Calibri"/>
      <family val="2"/>
    </font>
    <font>
      <b/>
      <sz val="16"/>
      <color indexed="81"/>
      <name val="Tahoma"/>
      <family val="2"/>
    </font>
    <font>
      <i/>
      <sz val="14"/>
      <color theme="1"/>
      <name val="Arial"/>
      <family val="2"/>
    </font>
    <font>
      <sz val="14"/>
      <color theme="1"/>
      <name val="Arial"/>
      <family val="2"/>
    </font>
    <font>
      <b/>
      <sz val="10"/>
      <name val="Arial"/>
      <family val="2"/>
    </font>
  </fonts>
  <fills count="15">
    <fill>
      <patternFill patternType="none"/>
    </fill>
    <fill>
      <patternFill patternType="gray125"/>
    </fill>
    <fill>
      <patternFill patternType="solid">
        <fgColor indexed="9"/>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99"/>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indexed="22"/>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rgb="FF00B050"/>
        <bgColor indexed="64"/>
      </patternFill>
    </fill>
    <fill>
      <patternFill patternType="solid">
        <fgColor rgb="FFFFFF00"/>
        <bgColor indexed="64"/>
      </patternFill>
    </fill>
    <fill>
      <patternFill patternType="solid">
        <fgColor theme="0"/>
        <bgColor indexed="64"/>
      </patternFill>
    </fill>
  </fills>
  <borders count="7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thin">
        <color indexed="64"/>
      </bottom>
      <diagonal/>
    </border>
    <border>
      <left/>
      <right/>
      <top style="medium">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s>
  <cellStyleXfs count="6">
    <xf numFmtId="0" fontId="0" fillId="0" borderId="0"/>
    <xf numFmtId="44" fontId="2" fillId="0" borderId="0" applyFont="0" applyFill="0" applyBorder="0" applyAlignment="0" applyProtection="0"/>
    <xf numFmtId="9" fontId="2" fillId="0" borderId="0" applyFont="0" applyFill="0" applyBorder="0" applyAlignment="0" applyProtection="0"/>
    <xf numFmtId="0" fontId="17" fillId="0" borderId="0" applyNumberFormat="0" applyFill="0" applyBorder="0" applyAlignment="0" applyProtection="0">
      <alignment vertical="top"/>
      <protection locked="0"/>
    </xf>
    <xf numFmtId="9" fontId="20" fillId="0" borderId="0" applyFont="0" applyFill="0" applyBorder="0" applyAlignment="0" applyProtection="0"/>
    <xf numFmtId="43" fontId="2" fillId="0" borderId="0" applyFont="0" applyFill="0" applyBorder="0" applyAlignment="0" applyProtection="0"/>
  </cellStyleXfs>
  <cellXfs count="825">
    <xf numFmtId="0" fontId="0" fillId="0" borderId="0" xfId="0"/>
    <xf numFmtId="0" fontId="6" fillId="0" borderId="0" xfId="0" applyFont="1" applyFill="1" applyBorder="1"/>
    <xf numFmtId="0" fontId="3" fillId="5" borderId="1" xfId="0" applyNumberFormat="1" applyFont="1" applyFill="1" applyBorder="1" applyAlignment="1">
      <alignment horizontal="left"/>
    </xf>
    <xf numFmtId="0" fontId="10" fillId="5" borderId="2" xfId="0" applyNumberFormat="1" applyFont="1" applyFill="1" applyBorder="1" applyAlignment="1">
      <alignment horizontal="center"/>
    </xf>
    <xf numFmtId="166" fontId="11" fillId="5" borderId="3" xfId="0" applyNumberFormat="1" applyFont="1" applyFill="1" applyBorder="1" applyAlignment="1">
      <alignment horizontal="center"/>
    </xf>
    <xf numFmtId="0" fontId="3" fillId="5" borderId="1" xfId="0" applyNumberFormat="1" applyFont="1" applyFill="1" applyBorder="1" applyAlignment="1"/>
    <xf numFmtId="0" fontId="4" fillId="2" borderId="5" xfId="0" applyNumberFormat="1" applyFont="1" applyFill="1" applyBorder="1" applyAlignment="1">
      <alignment horizontal="center"/>
    </xf>
    <xf numFmtId="0" fontId="4" fillId="2" borderId="4" xfId="0" applyNumberFormat="1" applyFont="1" applyFill="1" applyBorder="1" applyAlignment="1">
      <alignment horizontal="center"/>
    </xf>
    <xf numFmtId="0" fontId="6" fillId="2" borderId="4" xfId="0" applyNumberFormat="1" applyFont="1" applyFill="1" applyBorder="1" applyAlignment="1"/>
    <xf numFmtId="3" fontId="3" fillId="5" borderId="1" xfId="0" applyNumberFormat="1" applyFont="1" applyFill="1" applyBorder="1" applyAlignment="1">
      <alignment horizontal="left"/>
    </xf>
    <xf numFmtId="0" fontId="4" fillId="0" borderId="4" xfId="0" applyNumberFormat="1" applyFont="1" applyFill="1" applyBorder="1" applyAlignment="1">
      <alignment horizontal="center"/>
    </xf>
    <xf numFmtId="0" fontId="6" fillId="0" borderId="8" xfId="0" applyFont="1" applyFill="1" applyBorder="1"/>
    <xf numFmtId="0" fontId="6" fillId="0" borderId="0" xfId="0" applyFont="1" applyBorder="1"/>
    <xf numFmtId="0" fontId="15" fillId="0" borderId="4" xfId="0" applyFont="1" applyFill="1" applyBorder="1" applyAlignment="1">
      <alignment horizontal="center"/>
    </xf>
    <xf numFmtId="0" fontId="0" fillId="0" borderId="0" xfId="0" applyBorder="1"/>
    <xf numFmtId="0" fontId="15" fillId="0" borderId="0" xfId="0" applyFont="1" applyFill="1" applyBorder="1" applyAlignment="1">
      <alignment horizontal="center"/>
    </xf>
    <xf numFmtId="0" fontId="8" fillId="0" borderId="0" xfId="0" applyFont="1" applyFill="1" applyBorder="1" applyAlignment="1">
      <alignment horizontal="center"/>
    </xf>
    <xf numFmtId="0" fontId="3" fillId="0" borderId="0" xfId="0" applyFont="1" applyFill="1" applyBorder="1" applyAlignment="1">
      <alignment horizontal="center"/>
    </xf>
    <xf numFmtId="0" fontId="6" fillId="0" borderId="2" xfId="0" applyFont="1" applyBorder="1"/>
    <xf numFmtId="0" fontId="6" fillId="0" borderId="0" xfId="0" applyFont="1" applyFill="1" applyBorder="1" applyAlignment="1">
      <alignment horizontal="center"/>
    </xf>
    <xf numFmtId="0" fontId="6" fillId="2" borderId="0" xfId="0" applyNumberFormat="1" applyFont="1" applyFill="1" applyBorder="1" applyAlignment="1"/>
    <xf numFmtId="0" fontId="4" fillId="0" borderId="4" xfId="0" applyFont="1" applyFill="1" applyBorder="1" applyAlignment="1">
      <alignment horizontal="center"/>
    </xf>
    <xf numFmtId="0" fontId="24" fillId="0" borderId="2" xfId="0" applyFont="1" applyBorder="1" applyAlignment="1">
      <alignment horizontal="center" vertical="center"/>
    </xf>
    <xf numFmtId="0" fontId="8" fillId="0" borderId="2" xfId="0" applyFont="1" applyFill="1" applyBorder="1" applyAlignment="1">
      <alignment horizontal="left"/>
    </xf>
    <xf numFmtId="9" fontId="9" fillId="0" borderId="0" xfId="0" applyNumberFormat="1" applyFont="1" applyFill="1" applyBorder="1" applyAlignment="1">
      <alignment horizontal="center"/>
    </xf>
    <xf numFmtId="0" fontId="0" fillId="0" borderId="0" xfId="0" applyFill="1" applyBorder="1"/>
    <xf numFmtId="0" fontId="6" fillId="5" borderId="2" xfId="0" applyFont="1" applyFill="1" applyBorder="1"/>
    <xf numFmtId="0" fontId="3" fillId="0" borderId="14" xfId="0" applyFont="1" applyFill="1" applyBorder="1" applyAlignment="1">
      <alignment horizontal="center"/>
    </xf>
    <xf numFmtId="0" fontId="4" fillId="0" borderId="5" xfId="0" applyFont="1" applyFill="1" applyBorder="1" applyAlignment="1">
      <alignment horizontal="center"/>
    </xf>
    <xf numFmtId="0" fontId="6" fillId="0" borderId="0" xfId="0" applyNumberFormat="1" applyFont="1" applyAlignment="1"/>
    <xf numFmtId="0" fontId="3" fillId="0" borderId="0" xfId="0" applyNumberFormat="1" applyFont="1" applyAlignment="1">
      <alignment horizontal="center"/>
    </xf>
    <xf numFmtId="0" fontId="6" fillId="0" borderId="0" xfId="0" applyNumberFormat="1" applyFont="1" applyFill="1" applyAlignment="1"/>
    <xf numFmtId="0" fontId="6" fillId="0" borderId="0" xfId="0" applyNumberFormat="1" applyFont="1" applyAlignment="1">
      <alignment horizontal="center"/>
    </xf>
    <xf numFmtId="173" fontId="6" fillId="0" borderId="0" xfId="0" applyNumberFormat="1" applyFont="1" applyAlignment="1"/>
    <xf numFmtId="0" fontId="3" fillId="0" borderId="0" xfId="0" applyNumberFormat="1" applyFont="1" applyAlignment="1"/>
    <xf numFmtId="3" fontId="6" fillId="0" borderId="0" xfId="0" applyNumberFormat="1" applyFont="1" applyAlignment="1"/>
    <xf numFmtId="0" fontId="6" fillId="0" borderId="0" xfId="0" applyNumberFormat="1" applyFont="1" applyFill="1" applyBorder="1" applyAlignment="1"/>
    <xf numFmtId="169" fontId="6" fillId="0" borderId="0" xfId="0" applyNumberFormat="1" applyFont="1" applyBorder="1" applyAlignment="1"/>
    <xf numFmtId="0" fontId="6" fillId="0" borderId="0" xfId="0" applyNumberFormat="1" applyFont="1" applyBorder="1" applyAlignment="1"/>
    <xf numFmtId="0" fontId="6" fillId="0" borderId="9" xfId="0" applyNumberFormat="1" applyFont="1" applyFill="1" applyBorder="1" applyAlignment="1"/>
    <xf numFmtId="0" fontId="6" fillId="0" borderId="9" xfId="0" applyNumberFormat="1" applyFont="1" applyBorder="1" applyAlignment="1"/>
    <xf numFmtId="6" fontId="6" fillId="0" borderId="0" xfId="0" applyNumberFormat="1" applyFont="1" applyFill="1" applyBorder="1" applyAlignment="1"/>
    <xf numFmtId="6" fontId="6" fillId="0" borderId="9" xfId="0" applyNumberFormat="1" applyFont="1" applyFill="1" applyBorder="1" applyAlignment="1"/>
    <xf numFmtId="0" fontId="3" fillId="0" borderId="0" xfId="0" applyNumberFormat="1" applyFont="1" applyFill="1" applyBorder="1" applyAlignment="1"/>
    <xf numFmtId="6" fontId="3" fillId="0" borderId="0" xfId="0" applyNumberFormat="1" applyFont="1" applyAlignment="1"/>
    <xf numFmtId="0" fontId="4" fillId="0" borderId="0" xfId="0" applyNumberFormat="1" applyFont="1" applyFill="1" applyBorder="1" applyAlignment="1"/>
    <xf numFmtId="0" fontId="4" fillId="0" borderId="0" xfId="0" applyNumberFormat="1" applyFont="1" applyAlignment="1"/>
    <xf numFmtId="0" fontId="4" fillId="0" borderId="0" xfId="0" applyNumberFormat="1" applyFont="1" applyFill="1" applyAlignment="1"/>
    <xf numFmtId="40" fontId="4" fillId="0" borderId="0" xfId="0" applyNumberFormat="1" applyFont="1" applyFill="1" applyAlignment="1">
      <alignment horizontal="center"/>
    </xf>
    <xf numFmtId="0" fontId="3" fillId="0" borderId="0" xfId="0" applyNumberFormat="1" applyFont="1" applyFill="1" applyAlignment="1"/>
    <xf numFmtId="6" fontId="3" fillId="0" borderId="0" xfId="0" applyNumberFormat="1" applyFont="1" applyFill="1" applyAlignment="1"/>
    <xf numFmtId="0" fontId="3" fillId="0" borderId="0" xfId="0" applyNumberFormat="1" applyFont="1" applyAlignment="1">
      <alignment wrapText="1"/>
    </xf>
    <xf numFmtId="6" fontId="6" fillId="0" borderId="0" xfId="0" applyNumberFormat="1" applyFont="1" applyAlignment="1"/>
    <xf numFmtId="6" fontId="6" fillId="0" borderId="9" xfId="0" applyNumberFormat="1" applyFont="1" applyBorder="1" applyAlignment="1"/>
    <xf numFmtId="0" fontId="21" fillId="0" borderId="0" xfId="0" applyNumberFormat="1" applyFont="1" applyAlignment="1">
      <alignment wrapText="1"/>
    </xf>
    <xf numFmtId="164" fontId="4" fillId="0" borderId="0" xfId="2" applyNumberFormat="1" applyFont="1" applyAlignment="1"/>
    <xf numFmtId="6" fontId="31" fillId="0" borderId="0" xfId="0" applyNumberFormat="1" applyFont="1" applyFill="1" applyAlignment="1">
      <alignment horizontal="center"/>
    </xf>
    <xf numFmtId="0" fontId="3" fillId="0" borderId="22" xfId="0" applyNumberFormat="1" applyFont="1" applyBorder="1" applyAlignment="1"/>
    <xf numFmtId="0" fontId="6" fillId="0" borderId="22" xfId="0" applyNumberFormat="1" applyFont="1" applyBorder="1" applyAlignment="1"/>
    <xf numFmtId="0" fontId="3" fillId="9" borderId="0" xfId="0" applyNumberFormat="1" applyFont="1" applyFill="1" applyBorder="1" applyAlignment="1"/>
    <xf numFmtId="0" fontId="6" fillId="9" borderId="0" xfId="0" applyNumberFormat="1" applyFont="1" applyFill="1" applyBorder="1" applyAlignment="1"/>
    <xf numFmtId="6" fontId="6" fillId="9" borderId="0" xfId="0" applyNumberFormat="1" applyFont="1" applyFill="1" applyBorder="1" applyAlignment="1"/>
    <xf numFmtId="0" fontId="21" fillId="9" borderId="0" xfId="0" applyNumberFormat="1" applyFont="1" applyFill="1" applyBorder="1" applyAlignment="1">
      <alignment horizontal="center"/>
    </xf>
    <xf numFmtId="0" fontId="6" fillId="9" borderId="0" xfId="0" applyNumberFormat="1" applyFont="1" applyFill="1" applyAlignment="1"/>
    <xf numFmtId="0" fontId="0" fillId="0" borderId="0" xfId="0" applyNumberFormat="1" applyAlignment="1"/>
    <xf numFmtId="0" fontId="25" fillId="0" borderId="0" xfId="0" applyFont="1" applyFill="1" applyAlignment="1">
      <alignment horizontal="center"/>
    </xf>
    <xf numFmtId="0" fontId="0" fillId="0" borderId="0" xfId="0" applyFill="1"/>
    <xf numFmtId="3" fontId="3" fillId="9" borderId="1" xfId="0" applyNumberFormat="1" applyFont="1" applyFill="1" applyBorder="1" applyAlignment="1">
      <alignment horizontal="left" vertical="center"/>
    </xf>
    <xf numFmtId="3" fontId="4" fillId="9" borderId="2" xfId="0" applyNumberFormat="1" applyFont="1" applyFill="1" applyBorder="1" applyAlignment="1">
      <alignment horizontal="center" vertical="center"/>
    </xf>
    <xf numFmtId="0" fontId="0" fillId="4" borderId="2" xfId="0" applyFill="1" applyBorder="1"/>
    <xf numFmtId="0" fontId="0" fillId="4" borderId="3" xfId="0" applyFill="1" applyBorder="1"/>
    <xf numFmtId="0" fontId="6" fillId="2" borderId="4" xfId="0" applyNumberFormat="1" applyFont="1" applyFill="1" applyBorder="1" applyAlignment="1">
      <alignment vertical="center"/>
    </xf>
    <xf numFmtId="0" fontId="6" fillId="0" borderId="4" xfId="0" applyNumberFormat="1" applyFont="1" applyFill="1" applyBorder="1" applyAlignment="1">
      <alignment vertical="center"/>
    </xf>
    <xf numFmtId="9" fontId="3" fillId="2" borderId="5" xfId="2" applyFont="1" applyFill="1" applyBorder="1" applyAlignment="1">
      <alignment horizontal="center"/>
    </xf>
    <xf numFmtId="0" fontId="34" fillId="0" borderId="0" xfId="3" applyNumberFormat="1" applyFont="1" applyBorder="1" applyAlignment="1" applyProtection="1">
      <alignment vertical="center"/>
    </xf>
    <xf numFmtId="9" fontId="35" fillId="2" borderId="5" xfId="2" applyFont="1" applyFill="1" applyBorder="1" applyAlignment="1">
      <alignment horizontal="center"/>
    </xf>
    <xf numFmtId="0" fontId="4" fillId="0" borderId="0" xfId="0" applyNumberFormat="1" applyFont="1" applyFill="1" applyBorder="1" applyAlignment="1">
      <alignment horizontal="center"/>
    </xf>
    <xf numFmtId="9" fontId="6" fillId="2" borderId="5" xfId="2" applyFont="1" applyFill="1" applyBorder="1" applyAlignment="1">
      <alignment horizontal="center" vertical="center"/>
    </xf>
    <xf numFmtId="166" fontId="11" fillId="0" borderId="0" xfId="0" applyNumberFormat="1" applyFont="1" applyFill="1" applyBorder="1" applyAlignment="1">
      <alignment horizontal="center"/>
    </xf>
    <xf numFmtId="0" fontId="4" fillId="0" borderId="0" xfId="0" applyNumberFormat="1" applyFont="1" applyAlignment="1">
      <alignment horizontal="center"/>
    </xf>
    <xf numFmtId="0" fontId="4" fillId="0" borderId="9" xfId="0" applyNumberFormat="1" applyFont="1" applyFill="1" applyBorder="1" applyAlignment="1">
      <alignment horizontal="center"/>
    </xf>
    <xf numFmtId="0" fontId="21" fillId="0" borderId="0" xfId="0" applyNumberFormat="1" applyFont="1" applyAlignment="1">
      <alignment horizontal="center"/>
    </xf>
    <xf numFmtId="0" fontId="4" fillId="0" borderId="0" xfId="0" applyNumberFormat="1" applyFont="1" applyFill="1" applyAlignment="1">
      <alignment horizontal="center"/>
    </xf>
    <xf numFmtId="172" fontId="6" fillId="0" borderId="0" xfId="0" applyNumberFormat="1" applyFont="1" applyFill="1" applyAlignment="1">
      <alignment horizontal="center"/>
    </xf>
    <xf numFmtId="6" fontId="6" fillId="0" borderId="0" xfId="0" applyNumberFormat="1" applyFont="1" applyBorder="1" applyAlignment="1"/>
    <xf numFmtId="10" fontId="6" fillId="0" borderId="0" xfId="2" applyNumberFormat="1" applyFont="1" applyAlignment="1"/>
    <xf numFmtId="9" fontId="6" fillId="0" borderId="0" xfId="0" applyNumberFormat="1" applyFont="1" applyAlignment="1"/>
    <xf numFmtId="41" fontId="6" fillId="0" borderId="0" xfId="0" applyNumberFormat="1" applyFont="1" applyAlignment="1"/>
    <xf numFmtId="2" fontId="31" fillId="0" borderId="0" xfId="0" applyNumberFormat="1" applyFont="1" applyFill="1" applyAlignment="1">
      <alignment horizontal="center"/>
    </xf>
    <xf numFmtId="0" fontId="6" fillId="9" borderId="22" xfId="0" applyNumberFormat="1" applyFont="1" applyFill="1" applyBorder="1" applyAlignment="1"/>
    <xf numFmtId="2" fontId="4" fillId="0" borderId="0" xfId="0" applyNumberFormat="1" applyFont="1" applyBorder="1" applyAlignment="1"/>
    <xf numFmtId="0" fontId="6" fillId="0" borderId="22" xfId="0" applyFont="1" applyFill="1" applyBorder="1"/>
    <xf numFmtId="8" fontId="4" fillId="0" borderId="0" xfId="0" applyNumberFormat="1" applyFont="1" applyFill="1" applyBorder="1" applyAlignment="1">
      <alignment horizontal="center"/>
    </xf>
    <xf numFmtId="0" fontId="38" fillId="4" borderId="1" xfId="0" applyFont="1" applyFill="1" applyBorder="1" applyAlignment="1">
      <alignment horizontal="left" vertical="center"/>
    </xf>
    <xf numFmtId="0" fontId="25" fillId="4" borderId="2" xfId="0" applyFont="1" applyFill="1" applyBorder="1" applyAlignment="1">
      <alignment horizontal="center"/>
    </xf>
    <xf numFmtId="0" fontId="39" fillId="6" borderId="1" xfId="0" applyFont="1" applyFill="1" applyBorder="1"/>
    <xf numFmtId="0" fontId="40" fillId="6" borderId="2" xfId="0" applyFont="1" applyFill="1" applyBorder="1"/>
    <xf numFmtId="0" fontId="41" fillId="6" borderId="2" xfId="0" applyFont="1" applyFill="1" applyBorder="1" applyAlignment="1">
      <alignment horizontal="center"/>
    </xf>
    <xf numFmtId="9" fontId="24" fillId="0" borderId="4" xfId="0" applyNumberFormat="1" applyFont="1" applyFill="1" applyBorder="1" applyAlignment="1">
      <alignment horizontal="center"/>
    </xf>
    <xf numFmtId="0" fontId="4" fillId="4" borderId="3" xfId="0" applyNumberFormat="1" applyFont="1" applyFill="1" applyBorder="1" applyAlignment="1">
      <alignment horizontal="center" vertical="center"/>
    </xf>
    <xf numFmtId="9" fontId="6" fillId="0" borderId="0" xfId="2" applyFont="1" applyFill="1" applyBorder="1" applyAlignment="1">
      <alignment horizontal="center" vertical="center"/>
    </xf>
    <xf numFmtId="0" fontId="21" fillId="4" borderId="1" xfId="0" applyFont="1" applyFill="1" applyBorder="1"/>
    <xf numFmtId="0" fontId="6" fillId="4" borderId="2" xfId="0" applyFont="1" applyFill="1" applyBorder="1"/>
    <xf numFmtId="0" fontId="6" fillId="4" borderId="3" xfId="0" applyFont="1" applyFill="1" applyBorder="1"/>
    <xf numFmtId="0" fontId="40" fillId="6" borderId="3" xfId="0" applyFont="1" applyFill="1" applyBorder="1"/>
    <xf numFmtId="0" fontId="6" fillId="2" borderId="5" xfId="0" applyNumberFormat="1" applyFont="1" applyFill="1" applyBorder="1" applyAlignment="1">
      <alignment vertical="center"/>
    </xf>
    <xf numFmtId="169" fontId="6" fillId="0" borderId="5" xfId="1" applyNumberFormat="1" applyFont="1" applyBorder="1" applyAlignment="1">
      <alignment horizontal="center" vertical="center"/>
    </xf>
    <xf numFmtId="0" fontId="0" fillId="0" borderId="4" xfId="0" applyFill="1" applyBorder="1"/>
    <xf numFmtId="0" fontId="4" fillId="9" borderId="29" xfId="0" applyNumberFormat="1" applyFont="1" applyFill="1" applyBorder="1" applyAlignment="1">
      <alignment horizontal="center" vertical="center"/>
    </xf>
    <xf numFmtId="0" fontId="4" fillId="9" borderId="29" xfId="0" applyNumberFormat="1" applyFont="1" applyFill="1" applyBorder="1" applyAlignment="1">
      <alignment horizontal="center" vertical="center" wrapText="1"/>
    </xf>
    <xf numFmtId="0" fontId="33" fillId="2" borderId="0" xfId="0" applyNumberFormat="1" applyFont="1" applyFill="1" applyBorder="1" applyAlignment="1">
      <alignment vertical="center"/>
    </xf>
    <xf numFmtId="9" fontId="7" fillId="2" borderId="0" xfId="2" applyFont="1" applyFill="1" applyBorder="1" applyAlignment="1">
      <alignment horizontal="center" vertical="center"/>
    </xf>
    <xf numFmtId="9" fontId="24" fillId="0" borderId="0" xfId="0" applyNumberFormat="1" applyFont="1" applyFill="1" applyBorder="1" applyAlignment="1">
      <alignment horizontal="center"/>
    </xf>
    <xf numFmtId="0" fontId="6" fillId="0" borderId="0" xfId="0" applyNumberFormat="1" applyFont="1" applyFill="1" applyBorder="1" applyAlignment="1">
      <alignment vertical="center"/>
    </xf>
    <xf numFmtId="169" fontId="6" fillId="0" borderId="0" xfId="1" applyNumberFormat="1" applyFont="1" applyFill="1" applyBorder="1" applyAlignment="1">
      <alignment horizontal="center" vertical="center"/>
    </xf>
    <xf numFmtId="0" fontId="33" fillId="0" borderId="0" xfId="0" applyNumberFormat="1" applyFont="1" applyFill="1" applyBorder="1" applyAlignment="1">
      <alignment vertical="center"/>
    </xf>
    <xf numFmtId="169" fontId="7" fillId="0" borderId="0" xfId="1" applyNumberFormat="1" applyFont="1" applyFill="1" applyBorder="1" applyAlignment="1">
      <alignment horizontal="center" vertical="center"/>
    </xf>
    <xf numFmtId="9" fontId="7" fillId="0" borderId="0" xfId="2" applyFont="1" applyFill="1" applyBorder="1" applyAlignment="1">
      <alignment horizontal="center" vertical="center"/>
    </xf>
    <xf numFmtId="0" fontId="3" fillId="9" borderId="30" xfId="0" applyNumberFormat="1" applyFont="1" applyFill="1" applyBorder="1" applyAlignment="1">
      <alignment vertical="center"/>
    </xf>
    <xf numFmtId="169" fontId="6" fillId="0" borderId="4" xfId="0" applyNumberFormat="1" applyFont="1" applyFill="1" applyBorder="1" applyAlignment="1">
      <alignment vertical="center"/>
    </xf>
    <xf numFmtId="0" fontId="3" fillId="0" borderId="5" xfId="0" applyNumberFormat="1" applyFont="1" applyFill="1" applyBorder="1" applyAlignment="1">
      <alignment vertical="center"/>
    </xf>
    <xf numFmtId="0" fontId="6" fillId="0" borderId="5" xfId="0" applyNumberFormat="1" applyFont="1" applyFill="1" applyBorder="1" applyAlignment="1">
      <alignment vertical="center"/>
    </xf>
    <xf numFmtId="0" fontId="6" fillId="0" borderId="28" xfId="0" applyNumberFormat="1" applyFont="1" applyFill="1" applyBorder="1" applyAlignment="1">
      <alignment vertical="center"/>
    </xf>
    <xf numFmtId="6" fontId="6" fillId="0" borderId="28" xfId="0" applyNumberFormat="1" applyFont="1" applyFill="1" applyBorder="1" applyAlignment="1">
      <alignment vertical="center"/>
    </xf>
    <xf numFmtId="169" fontId="6" fillId="0" borderId="5" xfId="0" applyNumberFormat="1" applyFont="1" applyFill="1" applyBorder="1" applyAlignment="1">
      <alignment vertical="center"/>
    </xf>
    <xf numFmtId="169" fontId="3" fillId="0" borderId="5" xfId="0" applyNumberFormat="1" applyFont="1" applyFill="1" applyBorder="1" applyAlignment="1">
      <alignment vertical="center"/>
    </xf>
    <xf numFmtId="169" fontId="6" fillId="0" borderId="4" xfId="2" applyNumberFormat="1" applyFont="1" applyFill="1" applyBorder="1" applyAlignment="1">
      <alignment vertical="center"/>
    </xf>
    <xf numFmtId="9" fontId="35" fillId="0" borderId="0" xfId="2" applyFont="1" applyFill="1" applyBorder="1" applyAlignment="1">
      <alignment horizontal="center"/>
    </xf>
    <xf numFmtId="165" fontId="7" fillId="0" borderId="0" xfId="1" applyNumberFormat="1" applyFont="1" applyBorder="1" applyAlignment="1">
      <alignment horizontal="center" vertical="center"/>
    </xf>
    <xf numFmtId="169" fontId="6" fillId="0" borderId="4" xfId="1" applyNumberFormat="1" applyFont="1" applyBorder="1" applyAlignment="1">
      <alignment horizontal="center" vertical="center"/>
    </xf>
    <xf numFmtId="0" fontId="6" fillId="2" borderId="28" xfId="0" applyNumberFormat="1" applyFont="1" applyFill="1" applyBorder="1" applyAlignment="1">
      <alignment vertical="center"/>
    </xf>
    <xf numFmtId="169" fontId="6" fillId="0" borderId="28" xfId="1" applyNumberFormat="1" applyFont="1" applyBorder="1" applyAlignment="1">
      <alignment horizontal="center" vertical="center"/>
    </xf>
    <xf numFmtId="169" fontId="6" fillId="0" borderId="28" xfId="2" applyNumberFormat="1" applyFont="1" applyFill="1" applyBorder="1" applyAlignment="1">
      <alignment vertical="center"/>
    </xf>
    <xf numFmtId="0" fontId="4" fillId="0" borderId="0" xfId="0" applyNumberFormat="1" applyFont="1" applyFill="1" applyBorder="1" applyAlignment="1">
      <alignment horizontal="center" vertical="center"/>
    </xf>
    <xf numFmtId="0" fontId="6" fillId="0" borderId="0" xfId="0" applyNumberFormat="1" applyFont="1" applyFill="1" applyBorder="1" applyAlignment="1">
      <alignment horizontal="center"/>
    </xf>
    <xf numFmtId="169" fontId="6" fillId="0" borderId="28" xfId="0" applyNumberFormat="1" applyFont="1" applyFill="1" applyBorder="1" applyAlignment="1">
      <alignment vertical="center"/>
    </xf>
    <xf numFmtId="0" fontId="6" fillId="0" borderId="4" xfId="0" applyNumberFormat="1" applyFont="1" applyFill="1" applyBorder="1" applyAlignment="1">
      <alignment horizontal="right" vertical="center"/>
    </xf>
    <xf numFmtId="0" fontId="6" fillId="0" borderId="28" xfId="0" applyNumberFormat="1" applyFont="1" applyFill="1" applyBorder="1" applyAlignment="1">
      <alignment horizontal="right" vertical="center"/>
    </xf>
    <xf numFmtId="169" fontId="6" fillId="0" borderId="5" xfId="2" applyNumberFormat="1" applyFont="1" applyFill="1" applyBorder="1" applyAlignment="1">
      <alignment vertical="center"/>
    </xf>
    <xf numFmtId="0" fontId="6" fillId="0" borderId="5" xfId="0" applyNumberFormat="1" applyFont="1" applyFill="1" applyBorder="1" applyAlignment="1">
      <alignment horizontal="right" vertical="center"/>
    </xf>
    <xf numFmtId="0" fontId="4" fillId="9" borderId="31" xfId="0" applyNumberFormat="1" applyFont="1" applyFill="1" applyBorder="1" applyAlignment="1">
      <alignment horizontal="center" vertical="center" wrapText="1"/>
    </xf>
    <xf numFmtId="9" fontId="24" fillId="2" borderId="5" xfId="2" applyFont="1" applyFill="1" applyBorder="1" applyAlignment="1">
      <alignment horizontal="center" vertical="center"/>
    </xf>
    <xf numFmtId="0" fontId="42" fillId="2" borderId="4" xfId="0" applyNumberFormat="1" applyFont="1" applyFill="1" applyBorder="1" applyAlignment="1">
      <alignment vertical="center"/>
    </xf>
    <xf numFmtId="169" fontId="24" fillId="0" borderId="4" xfId="1" applyNumberFormat="1" applyFont="1" applyBorder="1" applyAlignment="1">
      <alignment horizontal="center" vertical="center"/>
    </xf>
    <xf numFmtId="0" fontId="42" fillId="2" borderId="28" xfId="0" applyNumberFormat="1" applyFont="1" applyFill="1" applyBorder="1" applyAlignment="1">
      <alignment vertical="center"/>
    </xf>
    <xf numFmtId="169" fontId="24" fillId="0" borderId="28" xfId="1" applyNumberFormat="1" applyFont="1" applyBorder="1" applyAlignment="1">
      <alignment horizontal="center" vertical="center"/>
    </xf>
    <xf numFmtId="9" fontId="24" fillId="2" borderId="28" xfId="2" applyFont="1" applyFill="1" applyBorder="1" applyAlignment="1">
      <alignment horizontal="center" vertical="center"/>
    </xf>
    <xf numFmtId="0" fontId="43" fillId="0" borderId="0" xfId="0" applyFont="1" applyFill="1" applyBorder="1" applyAlignment="1">
      <alignment horizontal="left"/>
    </xf>
    <xf numFmtId="0" fontId="43" fillId="0" borderId="0" xfId="0" applyFont="1" applyFill="1" applyBorder="1"/>
    <xf numFmtId="0" fontId="46" fillId="0" borderId="0" xfId="0" applyFont="1" applyBorder="1"/>
    <xf numFmtId="0" fontId="47" fillId="0" borderId="0" xfId="0" applyFont="1" applyBorder="1"/>
    <xf numFmtId="0" fontId="45" fillId="0" borderId="0" xfId="0" applyFont="1" applyBorder="1" applyAlignment="1">
      <alignment vertical="center"/>
    </xf>
    <xf numFmtId="0" fontId="29" fillId="0" borderId="0" xfId="0" applyFont="1" applyBorder="1" applyAlignment="1">
      <alignment vertical="center"/>
    </xf>
    <xf numFmtId="0" fontId="45" fillId="0" borderId="0" xfId="0" applyFont="1" applyBorder="1" applyAlignment="1">
      <alignment vertical="center" wrapText="1"/>
    </xf>
    <xf numFmtId="0" fontId="45" fillId="0" borderId="0" xfId="0" applyFont="1" applyBorder="1" applyAlignment="1"/>
    <xf numFmtId="0" fontId="45" fillId="0" borderId="0" xfId="0" applyFont="1" applyBorder="1" applyAlignment="1">
      <alignment wrapText="1"/>
    </xf>
    <xf numFmtId="0" fontId="45" fillId="0" borderId="0" xfId="0" applyFont="1" applyBorder="1"/>
    <xf numFmtId="0" fontId="45" fillId="0" borderId="0" xfId="0" applyFont="1" applyFill="1" applyBorder="1" applyAlignment="1">
      <alignment wrapText="1"/>
    </xf>
    <xf numFmtId="0" fontId="45" fillId="0" borderId="0" xfId="0" applyFont="1" applyFill="1" applyBorder="1" applyAlignment="1"/>
    <xf numFmtId="0" fontId="29" fillId="0" borderId="0" xfId="0" applyFont="1" applyBorder="1" applyAlignment="1">
      <alignment wrapText="1"/>
    </xf>
    <xf numFmtId="0" fontId="49" fillId="0" borderId="0" xfId="0" applyFont="1"/>
    <xf numFmtId="0" fontId="49" fillId="0" borderId="0" xfId="0" applyFont="1" applyAlignment="1">
      <alignment horizontal="center"/>
    </xf>
    <xf numFmtId="0" fontId="49" fillId="0" borderId="0" xfId="0" applyFont="1" applyAlignment="1">
      <alignment horizontal="center" vertical="center"/>
    </xf>
    <xf numFmtId="0" fontId="51" fillId="5" borderId="19" xfId="0" applyFont="1" applyFill="1" applyBorder="1" applyAlignment="1">
      <alignment horizontal="center" wrapText="1"/>
    </xf>
    <xf numFmtId="0" fontId="51" fillId="5" borderId="11" xfId="0" applyFont="1" applyFill="1" applyBorder="1" applyAlignment="1">
      <alignment horizontal="center" wrapText="1"/>
    </xf>
    <xf numFmtId="0" fontId="51" fillId="5" borderId="20" xfId="0" applyFont="1" applyFill="1" applyBorder="1" applyAlignment="1">
      <alignment horizontal="center" wrapText="1"/>
    </xf>
    <xf numFmtId="0" fontId="51" fillId="5" borderId="17" xfId="0" applyFont="1" applyFill="1" applyBorder="1" applyAlignment="1">
      <alignment horizontal="center"/>
    </xf>
    <xf numFmtId="0" fontId="51" fillId="5" borderId="0" xfId="0" applyFont="1" applyFill="1" applyBorder="1" applyAlignment="1">
      <alignment horizontal="center"/>
    </xf>
    <xf numFmtId="0" fontId="51" fillId="5" borderId="9" xfId="0" applyFont="1" applyFill="1" applyBorder="1" applyAlignment="1">
      <alignment horizontal="center"/>
    </xf>
    <xf numFmtId="0" fontId="51" fillId="5" borderId="18" xfId="0" applyFont="1" applyFill="1" applyBorder="1" applyAlignment="1">
      <alignment horizontal="center"/>
    </xf>
    <xf numFmtId="0" fontId="49" fillId="0" borderId="19" xfId="0" applyFont="1" applyBorder="1" applyAlignment="1">
      <alignment horizontal="center"/>
    </xf>
    <xf numFmtId="0" fontId="49" fillId="0" borderId="11" xfId="0" applyFont="1" applyBorder="1" applyAlignment="1">
      <alignment horizontal="center"/>
    </xf>
    <xf numFmtId="0" fontId="49" fillId="0" borderId="11" xfId="0" applyFont="1" applyBorder="1"/>
    <xf numFmtId="6" fontId="49" fillId="0" borderId="0" xfId="0" applyNumberFormat="1" applyFont="1" applyBorder="1" applyAlignment="1">
      <alignment horizontal="center" wrapText="1"/>
    </xf>
    <xf numFmtId="0" fontId="49" fillId="0" borderId="0" xfId="0" applyFont="1" applyFill="1" applyBorder="1"/>
    <xf numFmtId="0" fontId="49" fillId="0" borderId="17" xfId="0" applyFont="1" applyBorder="1" applyAlignment="1">
      <alignment horizontal="center"/>
    </xf>
    <xf numFmtId="2" fontId="49" fillId="0" borderId="0" xfId="0" applyNumberFormat="1" applyFont="1" applyBorder="1" applyAlignment="1">
      <alignment horizontal="center" wrapText="1"/>
    </xf>
    <xf numFmtId="10" fontId="49" fillId="0" borderId="0" xfId="2" applyNumberFormat="1" applyFont="1" applyBorder="1" applyAlignment="1">
      <alignment horizontal="center" wrapText="1"/>
    </xf>
    <xf numFmtId="2" fontId="49" fillId="0" borderId="18" xfId="2" applyNumberFormat="1" applyFont="1" applyBorder="1" applyAlignment="1">
      <alignment horizontal="center" wrapText="1"/>
    </xf>
    <xf numFmtId="0" fontId="49" fillId="0" borderId="0" xfId="0" applyFont="1" applyFill="1" applyBorder="1" applyAlignment="1">
      <alignment wrapText="1"/>
    </xf>
    <xf numFmtId="0" fontId="49" fillId="0" borderId="0" xfId="0" applyFont="1" applyAlignment="1">
      <alignment wrapText="1"/>
    </xf>
    <xf numFmtId="0" fontId="49" fillId="0" borderId="17" xfId="0" applyFont="1" applyBorder="1" applyAlignment="1">
      <alignment horizontal="center" wrapText="1"/>
    </xf>
    <xf numFmtId="0" fontId="49" fillId="0" borderId="15" xfId="0" applyFont="1" applyBorder="1"/>
    <xf numFmtId="0" fontId="49" fillId="0" borderId="9" xfId="0" applyFont="1" applyBorder="1"/>
    <xf numFmtId="0" fontId="51" fillId="4" borderId="1" xfId="0" applyFont="1" applyFill="1" applyBorder="1" applyAlignment="1">
      <alignment horizontal="left" vertical="center"/>
    </xf>
    <xf numFmtId="0" fontId="49" fillId="4" borderId="2" xfId="0" applyFont="1" applyFill="1" applyBorder="1" applyAlignment="1">
      <alignment horizontal="left" vertical="center"/>
    </xf>
    <xf numFmtId="0" fontId="52" fillId="4" borderId="2" xfId="0" applyFont="1" applyFill="1" applyBorder="1" applyAlignment="1">
      <alignment horizontal="left" vertical="center"/>
    </xf>
    <xf numFmtId="167" fontId="52" fillId="4" borderId="2" xfId="0" applyNumberFormat="1" applyFont="1" applyFill="1" applyBorder="1" applyAlignment="1">
      <alignment horizontal="left" vertical="center"/>
    </xf>
    <xf numFmtId="0" fontId="52" fillId="4" borderId="3" xfId="0" applyFont="1" applyFill="1" applyBorder="1" applyAlignment="1">
      <alignment horizontal="left" vertical="center"/>
    </xf>
    <xf numFmtId="0" fontId="52" fillId="0" borderId="0" xfId="0" applyFont="1" applyFill="1" applyBorder="1" applyAlignment="1">
      <alignment horizontal="center"/>
    </xf>
    <xf numFmtId="169" fontId="52" fillId="0" borderId="0" xfId="0" applyNumberFormat="1" applyFont="1" applyFill="1" applyBorder="1" applyAlignment="1">
      <alignment horizontal="center"/>
    </xf>
    <xf numFmtId="0" fontId="52" fillId="0" borderId="0" xfId="0" applyFont="1" applyFill="1" applyBorder="1"/>
    <xf numFmtId="0" fontId="53" fillId="0" borderId="11" xfId="0" applyFont="1" applyFill="1" applyBorder="1"/>
    <xf numFmtId="0" fontId="53" fillId="0" borderId="20" xfId="0" applyFont="1" applyFill="1" applyBorder="1"/>
    <xf numFmtId="6" fontId="54" fillId="0" borderId="9" xfId="0" applyNumberFormat="1" applyFont="1" applyFill="1" applyBorder="1" applyAlignment="1">
      <alignment horizontal="center" wrapText="1"/>
    </xf>
    <xf numFmtId="6" fontId="54" fillId="0" borderId="16" xfId="0" applyNumberFormat="1" applyFont="1" applyFill="1" applyBorder="1" applyAlignment="1">
      <alignment horizontal="center" wrapText="1"/>
    </xf>
    <xf numFmtId="6" fontId="54" fillId="0" borderId="0" xfId="0" applyNumberFormat="1" applyFont="1" applyFill="1" applyBorder="1" applyAlignment="1">
      <alignment horizontal="center" wrapText="1"/>
    </xf>
    <xf numFmtId="0" fontId="50" fillId="8" borderId="12" xfId="0" applyFont="1" applyFill="1" applyBorder="1" applyAlignment="1">
      <alignment vertical="center"/>
    </xf>
    <xf numFmtId="0" fontId="50" fillId="8" borderId="13" xfId="0" applyFont="1" applyFill="1" applyBorder="1" applyAlignment="1">
      <alignment vertical="center"/>
    </xf>
    <xf numFmtId="0" fontId="50" fillId="8" borderId="14" xfId="0" applyFont="1" applyFill="1" applyBorder="1" applyAlignment="1">
      <alignment vertical="center"/>
    </xf>
    <xf numFmtId="0" fontId="51" fillId="0" borderId="17" xfId="0" applyFont="1" applyBorder="1"/>
    <xf numFmtId="0" fontId="55" fillId="0" borderId="0" xfId="0" applyFont="1" applyBorder="1" applyAlignment="1">
      <alignment horizontal="center"/>
    </xf>
    <xf numFmtId="0" fontId="51" fillId="0" borderId="15" xfId="0" applyFont="1" applyBorder="1"/>
    <xf numFmtId="0" fontId="55" fillId="0" borderId="9" xfId="0" applyFont="1" applyBorder="1" applyAlignment="1">
      <alignment horizontal="center"/>
    </xf>
    <xf numFmtId="0" fontId="55" fillId="0" borderId="0" xfId="0" applyFont="1" applyAlignment="1">
      <alignment horizontal="center" wrapText="1"/>
    </xf>
    <xf numFmtId="0" fontId="49" fillId="0" borderId="0" xfId="0" applyFont="1" applyBorder="1" applyAlignment="1">
      <alignment wrapText="1"/>
    </xf>
    <xf numFmtId="0" fontId="44" fillId="5" borderId="12" xfId="0" applyFont="1" applyFill="1" applyBorder="1"/>
    <xf numFmtId="0" fontId="49" fillId="0" borderId="0" xfId="0" applyFont="1" applyFill="1" applyBorder="1" applyAlignment="1">
      <alignment horizontal="center"/>
    </xf>
    <xf numFmtId="0" fontId="49" fillId="0" borderId="0" xfId="0" applyFont="1" applyBorder="1" applyAlignment="1">
      <alignment horizontal="center"/>
    </xf>
    <xf numFmtId="167" fontId="49" fillId="0" borderId="0" xfId="0" applyNumberFormat="1" applyFont="1" applyFill="1" applyBorder="1" applyAlignment="1">
      <alignment horizontal="center"/>
    </xf>
    <xf numFmtId="164" fontId="49" fillId="0" borderId="21" xfId="2" applyNumberFormat="1" applyFont="1" applyBorder="1" applyAlignment="1">
      <alignment horizontal="center"/>
    </xf>
    <xf numFmtId="164" fontId="49" fillId="0" borderId="0" xfId="2" applyNumberFormat="1" applyFont="1" applyFill="1" applyBorder="1" applyAlignment="1">
      <alignment horizontal="center"/>
    </xf>
    <xf numFmtId="164" fontId="49" fillId="0" borderId="0" xfId="2" applyNumberFormat="1" applyFont="1" applyBorder="1" applyAlignment="1">
      <alignment horizontal="center"/>
    </xf>
    <xf numFmtId="0" fontId="49" fillId="0" borderId="21" xfId="0" applyFont="1" applyBorder="1" applyAlignment="1">
      <alignment horizontal="center"/>
    </xf>
    <xf numFmtId="169" fontId="49" fillId="0" borderId="21" xfId="0" applyNumberFormat="1" applyFont="1" applyBorder="1" applyAlignment="1">
      <alignment horizontal="center"/>
    </xf>
    <xf numFmtId="169" fontId="49" fillId="0" borderId="0" xfId="0" applyNumberFormat="1" applyFont="1" applyFill="1" applyBorder="1" applyAlignment="1">
      <alignment horizontal="center"/>
    </xf>
    <xf numFmtId="169" fontId="49" fillId="0" borderId="0" xfId="0" applyNumberFormat="1" applyFont="1" applyBorder="1" applyAlignment="1">
      <alignment horizontal="center"/>
    </xf>
    <xf numFmtId="0" fontId="55" fillId="0" borderId="0" xfId="0" applyFont="1" applyBorder="1" applyAlignment="1">
      <alignment horizontal="center" wrapText="1"/>
    </xf>
    <xf numFmtId="171" fontId="49" fillId="0" borderId="0" xfId="0" applyNumberFormat="1" applyFont="1" applyFill="1" applyBorder="1" applyAlignment="1">
      <alignment horizontal="center"/>
    </xf>
    <xf numFmtId="9" fontId="49" fillId="0" borderId="21" xfId="0" applyNumberFormat="1" applyFont="1" applyBorder="1" applyAlignment="1">
      <alignment horizontal="center"/>
    </xf>
    <xf numFmtId="9" fontId="49" fillId="0" borderId="0" xfId="0" applyNumberFormat="1" applyFont="1" applyFill="1" applyBorder="1" applyAlignment="1">
      <alignment horizontal="center"/>
    </xf>
    <xf numFmtId="9" fontId="49" fillId="0" borderId="0" xfId="0" applyNumberFormat="1" applyFont="1" applyBorder="1" applyAlignment="1">
      <alignment horizontal="center"/>
    </xf>
    <xf numFmtId="0" fontId="49" fillId="0" borderId="5" xfId="0" applyFont="1" applyBorder="1" applyAlignment="1">
      <alignment horizontal="center"/>
    </xf>
    <xf numFmtId="0" fontId="49" fillId="0" borderId="0" xfId="0" applyFont="1" applyBorder="1"/>
    <xf numFmtId="0" fontId="30" fillId="5" borderId="23" xfId="0" applyFont="1" applyFill="1" applyBorder="1" applyAlignment="1">
      <alignment vertical="center"/>
    </xf>
    <xf numFmtId="0" fontId="30" fillId="5" borderId="10" xfId="0" applyFont="1" applyFill="1" applyBorder="1" applyAlignment="1">
      <alignment vertical="center"/>
    </xf>
    <xf numFmtId="0" fontId="45" fillId="5" borderId="24" xfId="0" applyFont="1" applyFill="1" applyBorder="1" applyAlignment="1">
      <alignment vertical="center"/>
    </xf>
    <xf numFmtId="0" fontId="29" fillId="8" borderId="8" xfId="0" applyFont="1" applyFill="1" applyBorder="1" applyAlignment="1">
      <alignment vertical="center"/>
    </xf>
    <xf numFmtId="0" fontId="45" fillId="8" borderId="25" xfId="0" applyFont="1" applyFill="1" applyBorder="1" applyAlignment="1">
      <alignment vertical="center"/>
    </xf>
    <xf numFmtId="0" fontId="29" fillId="8" borderId="0" xfId="0" applyFont="1" applyFill="1" applyBorder="1" applyAlignment="1">
      <alignment vertical="center"/>
    </xf>
    <xf numFmtId="0" fontId="29" fillId="8" borderId="25" xfId="0" applyFont="1" applyFill="1" applyBorder="1" applyAlignment="1">
      <alignment vertical="center"/>
    </xf>
    <xf numFmtId="0" fontId="29" fillId="8" borderId="8" xfId="0" applyFont="1" applyFill="1" applyBorder="1" applyAlignment="1">
      <alignment horizontal="left" vertical="top" wrapText="1"/>
    </xf>
    <xf numFmtId="0" fontId="45" fillId="8" borderId="0" xfId="0" applyFont="1" applyFill="1" applyBorder="1" applyAlignment="1">
      <alignment vertical="center" wrapText="1"/>
    </xf>
    <xf numFmtId="0" fontId="45" fillId="8" borderId="25" xfId="0" applyFont="1" applyFill="1" applyBorder="1" applyAlignment="1">
      <alignment vertical="center" wrapText="1"/>
    </xf>
    <xf numFmtId="0" fontId="45" fillId="8" borderId="8" xfId="0" applyFont="1" applyFill="1" applyBorder="1" applyAlignment="1"/>
    <xf numFmtId="0" fontId="45" fillId="8" borderId="0" xfId="0" applyFont="1" applyFill="1" applyBorder="1" applyAlignment="1"/>
    <xf numFmtId="0" fontId="45" fillId="8" borderId="25" xfId="0" applyFont="1" applyFill="1" applyBorder="1" applyAlignment="1"/>
    <xf numFmtId="0" fontId="29" fillId="8" borderId="8" xfId="0" applyFont="1" applyFill="1" applyBorder="1" applyAlignment="1">
      <alignment vertical="top" wrapText="1"/>
    </xf>
    <xf numFmtId="0" fontId="45" fillId="8" borderId="0" xfId="0" applyFont="1" applyFill="1" applyBorder="1" applyAlignment="1">
      <alignment wrapText="1"/>
    </xf>
    <xf numFmtId="0" fontId="45" fillId="8" borderId="25" xfId="0" applyFont="1" applyFill="1" applyBorder="1" applyAlignment="1">
      <alignment wrapText="1"/>
    </xf>
    <xf numFmtId="0" fontId="46" fillId="8" borderId="0" xfId="0" applyFont="1" applyFill="1" applyBorder="1" applyAlignment="1">
      <alignment vertical="center"/>
    </xf>
    <xf numFmtId="0" fontId="29" fillId="8" borderId="25" xfId="0" applyFont="1" applyFill="1" applyBorder="1" applyAlignment="1">
      <alignment wrapText="1"/>
    </xf>
    <xf numFmtId="0" fontId="45" fillId="8" borderId="26" xfId="0" applyFont="1" applyFill="1" applyBorder="1" applyAlignment="1"/>
    <xf numFmtId="0" fontId="45" fillId="8" borderId="22" xfId="0" applyFont="1" applyFill="1" applyBorder="1" applyAlignment="1"/>
    <xf numFmtId="0" fontId="45" fillId="8" borderId="27" xfId="0" applyFont="1" applyFill="1" applyBorder="1" applyAlignment="1"/>
    <xf numFmtId="2" fontId="49" fillId="0" borderId="0" xfId="0" applyNumberFormat="1" applyFont="1" applyBorder="1"/>
    <xf numFmtId="9" fontId="57" fillId="0" borderId="0" xfId="0" applyNumberFormat="1" applyFont="1" applyBorder="1" applyAlignment="1">
      <alignment horizontal="center"/>
    </xf>
    <xf numFmtId="0" fontId="57" fillId="0" borderId="0" xfId="0" applyFont="1" applyBorder="1" applyAlignment="1">
      <alignment horizontal="center"/>
    </xf>
    <xf numFmtId="0" fontId="50" fillId="0" borderId="0" xfId="0" applyFont="1" applyFill="1" applyBorder="1" applyAlignment="1">
      <alignment vertical="center"/>
    </xf>
    <xf numFmtId="0" fontId="49" fillId="0" borderId="0" xfId="0" applyFont="1" applyFill="1"/>
    <xf numFmtId="9" fontId="50" fillId="0" borderId="0" xfId="0" applyNumberFormat="1" applyFont="1" applyFill="1" applyBorder="1" applyAlignment="1">
      <alignment vertical="center"/>
    </xf>
    <xf numFmtId="0" fontId="49" fillId="0" borderId="0" xfId="0" applyFont="1" applyBorder="1" applyAlignment="1"/>
    <xf numFmtId="0" fontId="6" fillId="0" borderId="0" xfId="0" applyFont="1" applyFill="1" applyBorder="1" applyAlignment="1">
      <alignment horizontal="right"/>
    </xf>
    <xf numFmtId="0" fontId="36" fillId="0" borderId="0" xfId="0" applyNumberFormat="1" applyFont="1" applyAlignment="1">
      <alignment horizontal="center"/>
    </xf>
    <xf numFmtId="0" fontId="6" fillId="0" borderId="0" xfId="0" applyNumberFormat="1" applyFont="1" applyFill="1" applyBorder="1" applyAlignment="1">
      <alignment horizontal="left" vertical="center"/>
    </xf>
    <xf numFmtId="9" fontId="28" fillId="0" borderId="0" xfId="0" applyNumberFormat="1" applyFont="1" applyAlignment="1">
      <alignment horizontal="center"/>
    </xf>
    <xf numFmtId="0" fontId="49" fillId="0" borderId="17" xfId="0" applyFont="1" applyFill="1" applyBorder="1"/>
    <xf numFmtId="0" fontId="4" fillId="0" borderId="4" xfId="0" applyNumberFormat="1" applyFont="1" applyBorder="1" applyAlignment="1">
      <alignment horizontal="center"/>
    </xf>
    <xf numFmtId="0" fontId="3" fillId="8" borderId="0" xfId="0" applyNumberFormat="1" applyFont="1" applyFill="1" applyAlignment="1"/>
    <xf numFmtId="0" fontId="6" fillId="8" borderId="0" xfId="0" applyNumberFormat="1" applyFont="1" applyFill="1" applyAlignment="1"/>
    <xf numFmtId="0" fontId="6" fillId="8" borderId="0" xfId="0" applyNumberFormat="1" applyFont="1" applyFill="1" applyAlignment="1">
      <alignment horizontal="center"/>
    </xf>
    <xf numFmtId="0" fontId="37" fillId="8" borderId="0" xfId="0" applyNumberFormat="1" applyFont="1" applyFill="1" applyAlignment="1"/>
    <xf numFmtId="0" fontId="22" fillId="8" borderId="0" xfId="0" applyNumberFormat="1" applyFont="1" applyFill="1" applyAlignment="1">
      <alignment horizontal="center"/>
    </xf>
    <xf numFmtId="169" fontId="6" fillId="8" borderId="0" xfId="0" applyNumberFormat="1" applyFont="1" applyFill="1" applyAlignment="1">
      <alignment horizontal="center"/>
    </xf>
    <xf numFmtId="0" fontId="7" fillId="8" borderId="0" xfId="0" applyNumberFormat="1" applyFont="1" applyFill="1" applyAlignment="1"/>
    <xf numFmtId="10" fontId="12" fillId="8" borderId="0" xfId="2" applyNumberFormat="1" applyFont="1" applyFill="1"/>
    <xf numFmtId="10" fontId="6" fillId="8" borderId="0" xfId="2" applyNumberFormat="1" applyFont="1" applyFill="1"/>
    <xf numFmtId="169" fontId="36" fillId="8" borderId="0" xfId="0" applyNumberFormat="1" applyFont="1" applyFill="1" applyAlignment="1">
      <alignment horizontal="center"/>
    </xf>
    <xf numFmtId="169" fontId="6" fillId="8" borderId="0" xfId="0" applyNumberFormat="1" applyFont="1" applyFill="1" applyAlignment="1"/>
    <xf numFmtId="169" fontId="6" fillId="8" borderId="0" xfId="0" applyNumberFormat="1" applyFont="1" applyFill="1" applyBorder="1" applyAlignment="1"/>
    <xf numFmtId="169" fontId="6" fillId="8" borderId="0" xfId="2" applyNumberFormat="1" applyFont="1" applyFill="1"/>
    <xf numFmtId="169" fontId="6" fillId="8" borderId="0" xfId="2" applyNumberFormat="1" applyFont="1" applyFill="1" applyBorder="1"/>
    <xf numFmtId="0" fontId="6" fillId="8" borderId="9" xfId="0" applyNumberFormat="1" applyFont="1" applyFill="1" applyBorder="1" applyAlignment="1"/>
    <xf numFmtId="169" fontId="6" fillId="8" borderId="9" xfId="0" applyNumberFormat="1" applyFont="1" applyFill="1" applyBorder="1" applyAlignment="1"/>
    <xf numFmtId="0" fontId="6" fillId="8" borderId="0" xfId="0" applyNumberFormat="1" applyFont="1" applyFill="1" applyBorder="1" applyAlignment="1"/>
    <xf numFmtId="169" fontId="4" fillId="8" borderId="0" xfId="0" applyNumberFormat="1" applyFont="1" applyFill="1" applyBorder="1" applyAlignment="1">
      <alignment horizontal="center" vertical="center"/>
    </xf>
    <xf numFmtId="1" fontId="6" fillId="8" borderId="0" xfId="2" applyNumberFormat="1" applyFont="1" applyFill="1" applyBorder="1"/>
    <xf numFmtId="169" fontId="6" fillId="8" borderId="0" xfId="0" applyNumberFormat="1" applyFont="1" applyFill="1" applyBorder="1" applyAlignment="1">
      <alignment horizontal="right"/>
    </xf>
    <xf numFmtId="0" fontId="6" fillId="8" borderId="0" xfId="0" applyNumberFormat="1" applyFont="1" applyFill="1" applyAlignment="1">
      <alignment horizontal="left" indent="1"/>
    </xf>
    <xf numFmtId="6" fontId="6" fillId="8" borderId="0" xfId="0" applyNumberFormat="1" applyFont="1" applyFill="1" applyBorder="1" applyAlignment="1">
      <alignment horizontal="right"/>
    </xf>
    <xf numFmtId="0" fontId="4" fillId="8" borderId="22" xfId="0" applyNumberFormat="1" applyFont="1" applyFill="1" applyBorder="1" applyAlignment="1">
      <alignment horizontal="right"/>
    </xf>
    <xf numFmtId="0" fontId="6" fillId="8" borderId="22" xfId="0" applyNumberFormat="1" applyFont="1" applyFill="1" applyBorder="1" applyAlignment="1"/>
    <xf numFmtId="0" fontId="3" fillId="8" borderId="22" xfId="0" applyNumberFormat="1" applyFont="1" applyFill="1" applyBorder="1" applyAlignment="1">
      <alignment horizontal="center"/>
    </xf>
    <xf numFmtId="10" fontId="6" fillId="8" borderId="22" xfId="2" applyNumberFormat="1" applyFont="1" applyFill="1" applyBorder="1" applyAlignment="1">
      <alignment horizontal="right"/>
    </xf>
    <xf numFmtId="0" fontId="3" fillId="8" borderId="0" xfId="0" applyNumberFormat="1" applyFont="1" applyFill="1" applyBorder="1" applyAlignment="1">
      <alignment horizontal="center"/>
    </xf>
    <xf numFmtId="10" fontId="6" fillId="8" borderId="0" xfId="2" applyNumberFormat="1" applyFont="1" applyFill="1" applyBorder="1" applyAlignment="1">
      <alignment horizontal="right"/>
    </xf>
    <xf numFmtId="175" fontId="3" fillId="8" borderId="0" xfId="0" applyNumberFormat="1" applyFont="1" applyFill="1" applyAlignment="1">
      <alignment horizontal="left"/>
    </xf>
    <xf numFmtId="175" fontId="6" fillId="8" borderId="0" xfId="0" applyNumberFormat="1" applyFont="1" applyFill="1" applyAlignment="1">
      <alignment horizontal="left"/>
    </xf>
    <xf numFmtId="41" fontId="6" fillId="8" borderId="0" xfId="0" applyNumberFormat="1" applyFont="1" applyFill="1" applyBorder="1" applyAlignment="1">
      <alignment horizontal="right" wrapText="1"/>
    </xf>
    <xf numFmtId="174" fontId="32" fillId="8" borderId="0" xfId="1" applyNumberFormat="1" applyFont="1" applyFill="1" applyBorder="1" applyAlignment="1">
      <alignment horizontal="right"/>
    </xf>
    <xf numFmtId="9" fontId="6" fillId="8" borderId="0" xfId="0" applyNumberFormat="1" applyFont="1" applyFill="1" applyBorder="1" applyAlignment="1">
      <alignment horizontal="right" wrapText="1"/>
    </xf>
    <xf numFmtId="41" fontId="6" fillId="8" borderId="4" xfId="0" applyNumberFormat="1" applyFont="1" applyFill="1" applyBorder="1" applyAlignment="1">
      <alignment horizontal="right" wrapText="1"/>
    </xf>
    <xf numFmtId="175" fontId="6" fillId="8" borderId="0" xfId="0" applyNumberFormat="1" applyFont="1" applyFill="1" applyAlignment="1">
      <alignment horizontal="left" indent="2"/>
    </xf>
    <xf numFmtId="175" fontId="6" fillId="8" borderId="0" xfId="0" applyNumberFormat="1" applyFont="1" applyFill="1" applyAlignment="1">
      <alignment horizontal="right"/>
    </xf>
    <xf numFmtId="175" fontId="6" fillId="8" borderId="0" xfId="0" applyNumberFormat="1" applyFont="1" applyFill="1" applyAlignment="1">
      <alignment horizontal="left" indent="1"/>
    </xf>
    <xf numFmtId="41" fontId="12" fillId="8" borderId="0" xfId="0" applyNumberFormat="1" applyFont="1" applyFill="1" applyBorder="1" applyAlignment="1">
      <alignment horizontal="right" wrapText="1"/>
    </xf>
    <xf numFmtId="6" fontId="6" fillId="8" borderId="0" xfId="0" applyNumberFormat="1" applyFont="1" applyFill="1" applyAlignment="1">
      <alignment horizontal="right" wrapText="1"/>
    </xf>
    <xf numFmtId="175" fontId="6" fillId="8" borderId="0" xfId="0" applyNumberFormat="1" applyFont="1" applyFill="1" applyBorder="1" applyAlignment="1">
      <alignment horizontal="left" indent="1"/>
    </xf>
    <xf numFmtId="41" fontId="6" fillId="8" borderId="0" xfId="0" applyNumberFormat="1" applyFont="1" applyFill="1" applyAlignment="1">
      <alignment horizontal="right" wrapText="1"/>
    </xf>
    <xf numFmtId="175" fontId="6" fillId="8" borderId="0" xfId="0" applyNumberFormat="1" applyFont="1" applyFill="1" applyAlignment="1">
      <alignment horizontal="right" wrapText="1"/>
    </xf>
    <xf numFmtId="41" fontId="12" fillId="8" borderId="0" xfId="0" applyNumberFormat="1" applyFont="1" applyFill="1" applyAlignment="1">
      <alignment horizontal="right" wrapText="1"/>
    </xf>
    <xf numFmtId="41" fontId="12" fillId="8" borderId="9" xfId="0" applyNumberFormat="1" applyFont="1" applyFill="1" applyBorder="1" applyAlignment="1">
      <alignment horizontal="right" wrapText="1"/>
    </xf>
    <xf numFmtId="6" fontId="6" fillId="8" borderId="9" xfId="0" applyNumberFormat="1" applyFont="1" applyFill="1" applyBorder="1" applyAlignment="1">
      <alignment horizontal="right" wrapText="1"/>
    </xf>
    <xf numFmtId="0" fontId="0" fillId="8" borderId="0" xfId="0" applyNumberFormat="1" applyFill="1" applyAlignment="1"/>
    <xf numFmtId="175" fontId="6" fillId="8" borderId="22" xfId="0" applyNumberFormat="1" applyFont="1" applyFill="1" applyBorder="1" applyAlignment="1">
      <alignment horizontal="left" indent="1"/>
    </xf>
    <xf numFmtId="0" fontId="0" fillId="8" borderId="22" xfId="0" applyNumberFormat="1" applyFill="1" applyBorder="1" applyAlignment="1"/>
    <xf numFmtId="6" fontId="6" fillId="8" borderId="22" xfId="0" applyNumberFormat="1" applyFont="1" applyFill="1" applyBorder="1" applyAlignment="1">
      <alignment horizontal="right" wrapText="1"/>
    </xf>
    <xf numFmtId="169" fontId="58" fillId="8" borderId="0" xfId="0" applyNumberFormat="1" applyFont="1" applyFill="1" applyBorder="1" applyAlignment="1"/>
    <xf numFmtId="9" fontId="59" fillId="0" borderId="0" xfId="0" applyNumberFormat="1" applyFont="1" applyFill="1" applyBorder="1" applyAlignment="1">
      <alignment horizontal="center"/>
    </xf>
    <xf numFmtId="0" fontId="49" fillId="0" borderId="0" xfId="0" applyFont="1" applyBorder="1" applyAlignment="1">
      <alignment horizontal="center"/>
    </xf>
    <xf numFmtId="0" fontId="45" fillId="8" borderId="0" xfId="0" applyFont="1" applyFill="1" applyBorder="1" applyAlignment="1">
      <alignment vertical="top" wrapText="1"/>
    </xf>
    <xf numFmtId="0" fontId="30" fillId="5" borderId="8" xfId="0" applyFont="1" applyFill="1" applyBorder="1" applyAlignment="1">
      <alignment vertical="center"/>
    </xf>
    <xf numFmtId="0" fontId="30" fillId="5" borderId="0" xfId="0" applyFont="1" applyFill="1" applyBorder="1" applyAlignment="1">
      <alignment vertical="center"/>
    </xf>
    <xf numFmtId="0" fontId="45" fillId="5" borderId="25" xfId="0" applyFont="1" applyFill="1" applyBorder="1" applyAlignment="1">
      <alignment vertical="center"/>
    </xf>
    <xf numFmtId="0" fontId="45" fillId="8" borderId="0" xfId="0" applyFont="1" applyFill="1" applyBorder="1" applyAlignment="1">
      <alignment horizontal="left" vertical="center"/>
    </xf>
    <xf numFmtId="0" fontId="45" fillId="8" borderId="0" xfId="0" applyFont="1" applyFill="1" applyBorder="1" applyAlignment="1">
      <alignment horizontal="left" vertical="center" wrapText="1"/>
    </xf>
    <xf numFmtId="165" fontId="0" fillId="0" borderId="0" xfId="1" applyNumberFormat="1" applyFont="1"/>
    <xf numFmtId="9" fontId="24" fillId="6" borderId="5" xfId="0" applyNumberFormat="1" applyFont="1" applyFill="1" applyBorder="1" applyAlignment="1">
      <alignment horizontal="center"/>
    </xf>
    <xf numFmtId="0" fontId="42" fillId="2" borderId="6" xfId="0" applyNumberFormat="1" applyFont="1" applyFill="1" applyBorder="1" applyAlignment="1">
      <alignment vertical="center"/>
    </xf>
    <xf numFmtId="169" fontId="24" fillId="0" borderId="6" xfId="1" applyNumberFormat="1" applyFont="1" applyBorder="1" applyAlignment="1">
      <alignment horizontal="center" vertical="center"/>
    </xf>
    <xf numFmtId="2" fontId="6" fillId="0" borderId="0" xfId="0" applyNumberFormat="1" applyFont="1" applyFill="1" applyAlignment="1">
      <alignment horizontal="right"/>
    </xf>
    <xf numFmtId="6" fontId="6" fillId="8" borderId="0" xfId="0" applyNumberFormat="1" applyFont="1" applyFill="1" applyAlignment="1">
      <alignment horizontal="right" vertical="center" wrapText="1"/>
    </xf>
    <xf numFmtId="0" fontId="56" fillId="0" borderId="0" xfId="0" applyFont="1" applyBorder="1" applyAlignment="1">
      <alignment horizontal="center" vertical="center" wrapText="1"/>
    </xf>
    <xf numFmtId="0" fontId="55" fillId="7" borderId="4" xfId="0" applyFont="1" applyFill="1" applyBorder="1" applyAlignment="1">
      <alignment horizontal="center"/>
    </xf>
    <xf numFmtId="164" fontId="51" fillId="0" borderId="17" xfId="2" applyNumberFormat="1" applyFont="1" applyFill="1" applyBorder="1" applyAlignment="1">
      <alignment horizontal="center"/>
    </xf>
    <xf numFmtId="10" fontId="49" fillId="0" borderId="21" xfId="0" applyNumberFormat="1" applyFont="1" applyBorder="1" applyAlignment="1">
      <alignment horizontal="center"/>
    </xf>
    <xf numFmtId="0" fontId="6" fillId="9" borderId="30" xfId="0" applyNumberFormat="1" applyFont="1" applyFill="1" applyBorder="1" applyAlignment="1">
      <alignment horizontal="center" vertical="center"/>
    </xf>
    <xf numFmtId="0" fontId="6" fillId="9" borderId="7" xfId="0" applyNumberFormat="1" applyFont="1" applyFill="1" applyBorder="1" applyAlignment="1">
      <alignment horizontal="center" vertical="center" wrapText="1"/>
    </xf>
    <xf numFmtId="0" fontId="61" fillId="0" borderId="0" xfId="0" applyFont="1" applyFill="1" applyBorder="1" applyAlignment="1">
      <alignment vertical="center"/>
    </xf>
    <xf numFmtId="0" fontId="0" fillId="0" borderId="22" xfId="0" applyBorder="1"/>
    <xf numFmtId="0" fontId="6" fillId="0" borderId="25" xfId="0" applyFont="1" applyFill="1" applyBorder="1"/>
    <xf numFmtId="0" fontId="62" fillId="0" borderId="0" xfId="0" applyFont="1" applyFill="1" applyBorder="1" applyAlignment="1">
      <alignment vertical="center"/>
    </xf>
    <xf numFmtId="176" fontId="4" fillId="0" borderId="4" xfId="0" applyNumberFormat="1" applyFont="1" applyFill="1" applyBorder="1" applyAlignment="1">
      <alignment horizontal="center"/>
    </xf>
    <xf numFmtId="2" fontId="44" fillId="0" borderId="22" xfId="0" applyNumberFormat="1" applyFont="1" applyFill="1" applyBorder="1" applyAlignment="1">
      <alignment horizontal="center"/>
    </xf>
    <xf numFmtId="6" fontId="63" fillId="0" borderId="0" xfId="0" applyNumberFormat="1" applyFont="1" applyAlignment="1"/>
    <xf numFmtId="6" fontId="63" fillId="0" borderId="9" xfId="0" applyNumberFormat="1" applyFont="1" applyBorder="1" applyAlignment="1"/>
    <xf numFmtId="0" fontId="51" fillId="0" borderId="0" xfId="0" applyFont="1" applyBorder="1"/>
    <xf numFmtId="164" fontId="51" fillId="0" borderId="0" xfId="2" applyNumberFormat="1" applyFont="1" applyFill="1" applyBorder="1" applyAlignment="1">
      <alignment horizontal="center"/>
    </xf>
    <xf numFmtId="0" fontId="49" fillId="0" borderId="4" xfId="0" applyFont="1" applyBorder="1"/>
    <xf numFmtId="0" fontId="55" fillId="0" borderId="9" xfId="0" applyFont="1" applyFill="1" applyBorder="1" applyAlignment="1">
      <alignment horizontal="center"/>
    </xf>
    <xf numFmtId="0" fontId="51" fillId="0" borderId="9" xfId="0" applyFont="1" applyFill="1" applyBorder="1" applyAlignment="1">
      <alignment horizontal="center"/>
    </xf>
    <xf numFmtId="0" fontId="55" fillId="5" borderId="14" xfId="0" applyFont="1" applyFill="1" applyBorder="1" applyAlignment="1">
      <alignment horizontal="center"/>
    </xf>
    <xf numFmtId="0" fontId="6" fillId="0" borderId="0" xfId="0" applyNumberFormat="1" applyFont="1" applyAlignment="1">
      <alignment wrapText="1"/>
    </xf>
    <xf numFmtId="9" fontId="6" fillId="0" borderId="9" xfId="0" applyNumberFormat="1" applyFont="1" applyBorder="1" applyAlignment="1"/>
    <xf numFmtId="9" fontId="64" fillId="0" borderId="0" xfId="0" applyNumberFormat="1" applyFont="1" applyAlignment="1"/>
    <xf numFmtId="6" fontId="6" fillId="8" borderId="0" xfId="0" applyNumberFormat="1" applyFont="1" applyFill="1" applyBorder="1" applyAlignment="1"/>
    <xf numFmtId="0" fontId="22" fillId="8" borderId="0" xfId="0" applyNumberFormat="1" applyFont="1" applyFill="1" applyAlignment="1"/>
    <xf numFmtId="0" fontId="8" fillId="0" borderId="23" xfId="0" applyFont="1" applyFill="1" applyBorder="1" applyAlignment="1">
      <alignment horizontal="center"/>
    </xf>
    <xf numFmtId="0" fontId="8" fillId="0" borderId="10" xfId="0" applyFont="1" applyFill="1" applyBorder="1" applyAlignment="1">
      <alignment horizontal="center"/>
    </xf>
    <xf numFmtId="0" fontId="6" fillId="0" borderId="10" xfId="0" applyFont="1" applyFill="1" applyBorder="1"/>
    <xf numFmtId="6" fontId="3" fillId="0" borderId="22" xfId="0" applyNumberFormat="1" applyFont="1" applyBorder="1" applyAlignment="1"/>
    <xf numFmtId="1" fontId="24" fillId="0" borderId="0" xfId="0" applyNumberFormat="1" applyFont="1" applyFill="1" applyBorder="1" applyAlignment="1">
      <alignment horizontal="right"/>
    </xf>
    <xf numFmtId="164" fontId="24" fillId="0" borderId="0" xfId="2" applyNumberFormat="1" applyFont="1" applyFill="1" applyBorder="1" applyAlignment="1">
      <alignment horizontal="right"/>
    </xf>
    <xf numFmtId="0" fontId="24" fillId="0" borderId="0" xfId="0" applyFont="1" applyFill="1" applyBorder="1" applyAlignment="1">
      <alignment horizontal="right"/>
    </xf>
    <xf numFmtId="171" fontId="24" fillId="0" borderId="0" xfId="1" applyNumberFormat="1" applyFont="1" applyFill="1" applyBorder="1" applyAlignment="1">
      <alignment horizontal="right"/>
    </xf>
    <xf numFmtId="6" fontId="24" fillId="0" borderId="0" xfId="0" applyNumberFormat="1" applyFont="1" applyFill="1" applyBorder="1" applyAlignment="1">
      <alignment horizontal="right"/>
    </xf>
    <xf numFmtId="169" fontId="6" fillId="0" borderId="0" xfId="0" applyNumberFormat="1" applyFont="1" applyFill="1" applyBorder="1" applyAlignment="1">
      <alignment horizontal="right"/>
    </xf>
    <xf numFmtId="169" fontId="6" fillId="0" borderId="0" xfId="1" applyNumberFormat="1" applyFont="1" applyFill="1" applyBorder="1" applyAlignment="1">
      <alignment horizontal="right"/>
    </xf>
    <xf numFmtId="6" fontId="6" fillId="0" borderId="0" xfId="0" applyNumberFormat="1" applyFont="1" applyFill="1" applyBorder="1" applyAlignment="1">
      <alignment horizontal="right"/>
    </xf>
    <xf numFmtId="164" fontId="24" fillId="0" borderId="0" xfId="0" applyNumberFormat="1" applyFont="1" applyFill="1" applyBorder="1" applyAlignment="1">
      <alignment horizontal="right"/>
    </xf>
    <xf numFmtId="2" fontId="24" fillId="0" borderId="0" xfId="2" applyNumberFormat="1" applyFont="1" applyFill="1" applyBorder="1" applyAlignment="1">
      <alignment horizontal="right"/>
    </xf>
    <xf numFmtId="2" fontId="6" fillId="0" borderId="0" xfId="2" applyNumberFormat="1" applyFont="1" applyFill="1" applyBorder="1" applyAlignment="1">
      <alignment horizontal="right"/>
    </xf>
    <xf numFmtId="2" fontId="24" fillId="0" borderId="0" xfId="0" applyNumberFormat="1" applyFont="1" applyFill="1" applyBorder="1" applyAlignment="1">
      <alignment horizontal="center"/>
    </xf>
    <xf numFmtId="9" fontId="24" fillId="0" borderId="0" xfId="2" applyFont="1" applyFill="1" applyBorder="1" applyAlignment="1">
      <alignment horizontal="center"/>
    </xf>
    <xf numFmtId="164" fontId="5" fillId="0" borderId="0" xfId="2" applyNumberFormat="1" applyFont="1" applyFill="1" applyBorder="1" applyAlignment="1">
      <alignment horizontal="center"/>
    </xf>
    <xf numFmtId="171" fontId="6" fillId="0" borderId="0" xfId="1" applyNumberFormat="1" applyFont="1" applyFill="1" applyBorder="1" applyAlignment="1">
      <alignment horizontal="right"/>
    </xf>
    <xf numFmtId="170" fontId="4" fillId="0" borderId="0" xfId="0" applyNumberFormat="1" applyFont="1" applyFill="1" applyBorder="1" applyAlignment="1">
      <alignment horizontal="center"/>
    </xf>
    <xf numFmtId="171" fontId="24" fillId="0" borderId="0" xfId="0" applyNumberFormat="1" applyFont="1" applyFill="1" applyBorder="1" applyAlignment="1">
      <alignment horizontal="right"/>
    </xf>
    <xf numFmtId="2" fontId="24" fillId="0" borderId="0" xfId="0" applyNumberFormat="1" applyFont="1" applyFill="1" applyBorder="1" applyAlignment="1">
      <alignment horizontal="right"/>
    </xf>
    <xf numFmtId="169" fontId="24" fillId="0" borderId="0" xfId="0" applyNumberFormat="1" applyFont="1" applyFill="1" applyBorder="1" applyAlignment="1">
      <alignment horizontal="right"/>
    </xf>
    <xf numFmtId="9" fontId="12" fillId="0" borderId="0" xfId="2" applyFont="1" applyFill="1" applyBorder="1" applyAlignment="1">
      <alignment horizontal="right"/>
    </xf>
    <xf numFmtId="9" fontId="24" fillId="0" borderId="0" xfId="2" applyNumberFormat="1" applyFont="1" applyFill="1" applyBorder="1" applyAlignment="1">
      <alignment horizontal="right"/>
    </xf>
    <xf numFmtId="10" fontId="24" fillId="0" borderId="0" xfId="2" applyNumberFormat="1" applyFont="1" applyFill="1" applyBorder="1" applyAlignment="1">
      <alignment horizontal="right"/>
    </xf>
    <xf numFmtId="9" fontId="6" fillId="0" borderId="0" xfId="2" applyNumberFormat="1" applyFont="1" applyFill="1" applyBorder="1" applyAlignment="1">
      <alignment horizontal="right"/>
    </xf>
    <xf numFmtId="9" fontId="5" fillId="0" borderId="0" xfId="2" applyFont="1" applyFill="1" applyBorder="1" applyAlignment="1">
      <alignment horizontal="right"/>
    </xf>
    <xf numFmtId="0" fontId="15" fillId="0" borderId="32" xfId="0" applyFont="1" applyFill="1" applyBorder="1" applyAlignment="1">
      <alignment horizontal="center"/>
    </xf>
    <xf numFmtId="10" fontId="4" fillId="0" borderId="0" xfId="2" applyNumberFormat="1" applyFont="1" applyFill="1" applyBorder="1" applyAlignment="1">
      <alignment horizontal="right"/>
    </xf>
    <xf numFmtId="0" fontId="6" fillId="0" borderId="26" xfId="0" applyFont="1" applyFill="1" applyBorder="1"/>
    <xf numFmtId="0" fontId="6" fillId="0" borderId="24" xfId="0" applyFont="1" applyFill="1" applyBorder="1"/>
    <xf numFmtId="0" fontId="3" fillId="0" borderId="8" xfId="0" applyFont="1" applyFill="1" applyBorder="1" applyAlignment="1">
      <alignment horizontal="center"/>
    </xf>
    <xf numFmtId="164" fontId="4" fillId="0" borderId="0" xfId="2" applyNumberFormat="1" applyFont="1" applyAlignment="1">
      <alignment horizontal="center"/>
    </xf>
    <xf numFmtId="174" fontId="3" fillId="0" borderId="0" xfId="5" applyNumberFormat="1" applyFont="1" applyFill="1" applyBorder="1" applyAlignment="1">
      <alignment horizontal="center"/>
    </xf>
    <xf numFmtId="2" fontId="0" fillId="0" borderId="0" xfId="0" applyNumberFormat="1"/>
    <xf numFmtId="9" fontId="4" fillId="0" borderId="0" xfId="2" applyFont="1" applyAlignment="1">
      <alignment horizontal="center"/>
    </xf>
    <xf numFmtId="9" fontId="4" fillId="0" borderId="0" xfId="0" applyNumberFormat="1" applyFont="1" applyAlignment="1">
      <alignment horizontal="center"/>
    </xf>
    <xf numFmtId="0" fontId="22" fillId="0" borderId="0" xfId="0" applyNumberFormat="1" applyFont="1" applyFill="1" applyBorder="1" applyAlignment="1"/>
    <xf numFmtId="2" fontId="36" fillId="0" borderId="0" xfId="0" applyNumberFormat="1" applyFont="1" applyBorder="1" applyAlignment="1"/>
    <xf numFmtId="0" fontId="6" fillId="0" borderId="27" xfId="0" applyFont="1" applyFill="1" applyBorder="1"/>
    <xf numFmtId="0" fontId="3" fillId="0" borderId="22" xfId="0" applyFont="1" applyFill="1" applyBorder="1" applyAlignment="1">
      <alignment horizontal="center"/>
    </xf>
    <xf numFmtId="0" fontId="6" fillId="0" borderId="9" xfId="0" applyNumberFormat="1" applyFont="1" applyBorder="1" applyAlignment="1">
      <alignment wrapText="1"/>
    </xf>
    <xf numFmtId="0" fontId="66" fillId="0" borderId="19" xfId="0" applyFont="1" applyBorder="1"/>
    <xf numFmtId="0" fontId="66" fillId="0" borderId="20" xfId="0" applyFont="1" applyBorder="1"/>
    <xf numFmtId="6" fontId="66" fillId="0" borderId="17" xfId="0" applyNumberFormat="1" applyFont="1" applyBorder="1" applyAlignment="1">
      <alignment horizontal="center" wrapText="1"/>
    </xf>
    <xf numFmtId="6" fontId="66" fillId="0" borderId="18" xfId="0" applyNumberFormat="1" applyFont="1" applyBorder="1" applyAlignment="1">
      <alignment horizontal="center" wrapText="1"/>
    </xf>
    <xf numFmtId="0" fontId="66" fillId="0" borderId="15" xfId="0" applyFont="1" applyBorder="1"/>
    <xf numFmtId="0" fontId="66" fillId="0" borderId="16" xfId="0" applyFont="1" applyBorder="1"/>
    <xf numFmtId="6" fontId="67" fillId="0" borderId="0" xfId="0" applyNumberFormat="1" applyFont="1" applyAlignment="1"/>
    <xf numFmtId="6" fontId="15" fillId="0" borderId="0" xfId="0" applyNumberFormat="1" applyFont="1" applyFill="1" applyAlignment="1"/>
    <xf numFmtId="0" fontId="60" fillId="5" borderId="1" xfId="0" applyFont="1" applyFill="1" applyBorder="1"/>
    <xf numFmtId="0" fontId="6" fillId="5" borderId="3" xfId="0" applyFont="1" applyFill="1" applyBorder="1"/>
    <xf numFmtId="170" fontId="4" fillId="3" borderId="0" xfId="0" applyNumberFormat="1" applyFont="1" applyFill="1" applyBorder="1" applyAlignment="1">
      <alignment horizontal="center"/>
    </xf>
    <xf numFmtId="0" fontId="6" fillId="3" borderId="0" xfId="0" applyFont="1" applyFill="1" applyBorder="1"/>
    <xf numFmtId="14" fontId="6" fillId="3" borderId="0" xfId="0" applyNumberFormat="1" applyFont="1" applyFill="1" applyBorder="1" applyAlignment="1">
      <alignment horizontal="center"/>
    </xf>
    <xf numFmtId="168" fontId="5" fillId="0" borderId="0" xfId="0" applyNumberFormat="1" applyFont="1" applyFill="1" applyBorder="1" applyAlignment="1">
      <alignment horizontal="center"/>
    </xf>
    <xf numFmtId="167" fontId="5" fillId="0" borderId="0" xfId="0" applyNumberFormat="1" applyFont="1" applyFill="1" applyBorder="1" applyAlignment="1">
      <alignment horizontal="center"/>
    </xf>
    <xf numFmtId="169" fontId="5" fillId="0" borderId="0" xfId="1" applyNumberFormat="1" applyFont="1" applyFill="1" applyBorder="1" applyAlignment="1">
      <alignment horizontal="center"/>
    </xf>
    <xf numFmtId="169" fontId="6" fillId="0" borderId="0" xfId="1" applyNumberFormat="1" applyFont="1" applyFill="1" applyBorder="1" applyAlignment="1">
      <alignment horizontal="center"/>
    </xf>
    <xf numFmtId="171" fontId="5" fillId="0" borderId="0" xfId="1" applyNumberFormat="1" applyFont="1" applyFill="1" applyBorder="1" applyAlignment="1">
      <alignment horizontal="center"/>
    </xf>
    <xf numFmtId="164" fontId="5" fillId="3" borderId="0" xfId="2" applyNumberFormat="1" applyFont="1" applyFill="1" applyBorder="1" applyAlignment="1">
      <alignment horizontal="center"/>
    </xf>
    <xf numFmtId="0" fontId="3" fillId="3" borderId="0" xfId="0" applyFont="1" applyFill="1" applyBorder="1" applyAlignment="1">
      <alignment horizontal="center"/>
    </xf>
    <xf numFmtId="9" fontId="5" fillId="0" borderId="0" xfId="2" applyFont="1" applyFill="1" applyBorder="1" applyAlignment="1">
      <alignment horizontal="center"/>
    </xf>
    <xf numFmtId="0" fontId="8" fillId="5" borderId="10" xfId="0" applyFont="1" applyFill="1" applyBorder="1" applyAlignment="1">
      <alignment vertical="center"/>
    </xf>
    <xf numFmtId="0" fontId="62" fillId="5" borderId="10" xfId="0" applyFont="1" applyFill="1" applyBorder="1" applyAlignment="1">
      <alignment vertical="center"/>
    </xf>
    <xf numFmtId="0" fontId="62" fillId="5" borderId="24" xfId="0" applyFont="1" applyFill="1" applyBorder="1" applyAlignment="1">
      <alignment vertical="center"/>
    </xf>
    <xf numFmtId="1" fontId="0" fillId="0" borderId="0" xfId="0" applyNumberFormat="1" applyAlignment="1"/>
    <xf numFmtId="10" fontId="6" fillId="8" borderId="0" xfId="2" applyNumberFormat="1" applyFont="1" applyFill="1" applyAlignment="1">
      <alignment horizontal="right" wrapText="1"/>
    </xf>
    <xf numFmtId="6" fontId="22" fillId="8" borderId="0" xfId="0" applyNumberFormat="1" applyFont="1" applyFill="1" applyAlignment="1">
      <alignment horizontal="center" wrapText="1"/>
    </xf>
    <xf numFmtId="177" fontId="6" fillId="8" borderId="0" xfId="0" applyNumberFormat="1" applyFont="1" applyFill="1" applyAlignment="1">
      <alignment horizontal="center" wrapText="1"/>
    </xf>
    <xf numFmtId="1" fontId="24" fillId="8" borderId="0" xfId="0" applyNumberFormat="1" applyFont="1" applyFill="1" applyAlignment="1">
      <alignment horizontal="right" wrapText="1"/>
    </xf>
    <xf numFmtId="177" fontId="6" fillId="8" borderId="0" xfId="0" applyNumberFormat="1" applyFont="1" applyFill="1" applyAlignment="1">
      <alignment horizontal="right" wrapText="1"/>
    </xf>
    <xf numFmtId="0" fontId="0" fillId="0" borderId="0" xfId="0" applyNumberFormat="1" applyFill="1" applyAlignment="1"/>
    <xf numFmtId="1" fontId="0" fillId="0" borderId="0" xfId="0" applyNumberFormat="1" applyFill="1" applyAlignment="1"/>
    <xf numFmtId="1" fontId="0" fillId="8" borderId="22" xfId="0" applyNumberFormat="1" applyFill="1" applyBorder="1" applyAlignment="1"/>
    <xf numFmtId="175" fontId="3" fillId="8" borderId="0" xfId="0" applyNumberFormat="1" applyFont="1" applyFill="1" applyAlignment="1">
      <alignment horizontal="left" indent="1"/>
    </xf>
    <xf numFmtId="176" fontId="4" fillId="0" borderId="0" xfId="0" applyNumberFormat="1" applyFont="1" applyFill="1" applyAlignment="1">
      <alignment horizontal="center"/>
    </xf>
    <xf numFmtId="1" fontId="43" fillId="0" borderId="0" xfId="0" applyNumberFormat="1" applyFont="1" applyFill="1" applyBorder="1" applyAlignment="1">
      <alignment horizontal="center"/>
    </xf>
    <xf numFmtId="0" fontId="69" fillId="5" borderId="4" xfId="0" applyNumberFormat="1" applyFont="1" applyFill="1" applyBorder="1" applyAlignment="1">
      <alignment horizontal="center"/>
    </xf>
    <xf numFmtId="0" fontId="69" fillId="5" borderId="6" xfId="0" applyNumberFormat="1" applyFont="1" applyFill="1" applyBorder="1" applyAlignment="1">
      <alignment horizontal="center"/>
    </xf>
    <xf numFmtId="2" fontId="16" fillId="5" borderId="5" xfId="0" applyNumberFormat="1" applyFont="1" applyFill="1" applyBorder="1" applyAlignment="1">
      <alignment horizontal="center"/>
    </xf>
    <xf numFmtId="0" fontId="70" fillId="0" borderId="0" xfId="0" applyFont="1" applyFill="1" applyBorder="1"/>
    <xf numFmtId="0" fontId="21" fillId="5" borderId="2" xfId="0" applyNumberFormat="1" applyFont="1" applyFill="1" applyBorder="1" applyAlignment="1">
      <alignment horizontal="center"/>
    </xf>
    <xf numFmtId="0" fontId="22" fillId="0" borderId="0" xfId="0" applyFont="1" applyFill="1" applyBorder="1" applyAlignment="1">
      <alignment horizontal="center"/>
    </xf>
    <xf numFmtId="0" fontId="21" fillId="5" borderId="1" xfId="0" applyFont="1" applyFill="1" applyBorder="1"/>
    <xf numFmtId="0" fontId="6" fillId="4" borderId="0" xfId="0" applyFont="1" applyFill="1" applyBorder="1"/>
    <xf numFmtId="0" fontId="3" fillId="4" borderId="0" xfId="0" applyFont="1" applyFill="1" applyBorder="1" applyAlignment="1">
      <alignment horizontal="center"/>
    </xf>
    <xf numFmtId="0" fontId="6" fillId="4" borderId="23" xfId="0" applyFont="1" applyFill="1" applyBorder="1"/>
    <xf numFmtId="0" fontId="6" fillId="4" borderId="10" xfId="0" applyFont="1" applyFill="1" applyBorder="1"/>
    <xf numFmtId="0" fontId="3" fillId="4" borderId="10" xfId="0" applyFont="1" applyFill="1" applyBorder="1" applyAlignment="1">
      <alignment horizontal="center"/>
    </xf>
    <xf numFmtId="0" fontId="6" fillId="4" borderId="8" xfId="0" applyFont="1" applyFill="1" applyBorder="1"/>
    <xf numFmtId="0" fontId="71" fillId="4" borderId="0" xfId="0" applyFont="1" applyFill="1" applyBorder="1" applyAlignment="1"/>
    <xf numFmtId="0" fontId="6" fillId="4" borderId="25" xfId="0" applyFont="1" applyFill="1" applyBorder="1"/>
    <xf numFmtId="0" fontId="6" fillId="4" borderId="26" xfId="0" applyFont="1" applyFill="1" applyBorder="1"/>
    <xf numFmtId="0" fontId="6" fillId="4" borderId="22" xfId="0" applyFont="1" applyFill="1" applyBorder="1"/>
    <xf numFmtId="0" fontId="71" fillId="4" borderId="22" xfId="0" applyFont="1" applyFill="1" applyBorder="1" applyAlignment="1"/>
    <xf numFmtId="0" fontId="3" fillId="4" borderId="22" xfId="0" applyFont="1" applyFill="1" applyBorder="1" applyAlignment="1">
      <alignment horizontal="center"/>
    </xf>
    <xf numFmtId="0" fontId="6" fillId="4" borderId="27" xfId="0" applyFont="1" applyFill="1" applyBorder="1"/>
    <xf numFmtId="0" fontId="60" fillId="4" borderId="10" xfId="0" applyNumberFormat="1" applyFont="1" applyFill="1" applyBorder="1" applyAlignment="1"/>
    <xf numFmtId="0" fontId="51" fillId="0" borderId="12" xfId="0" applyFont="1" applyBorder="1" applyAlignment="1">
      <alignment vertical="center"/>
    </xf>
    <xf numFmtId="0" fontId="49" fillId="0" borderId="14" xfId="0" applyFont="1" applyBorder="1"/>
    <xf numFmtId="44" fontId="6" fillId="0" borderId="0" xfId="1" applyFont="1" applyFill="1" applyBorder="1"/>
    <xf numFmtId="0" fontId="16" fillId="5" borderId="4" xfId="0" applyFont="1" applyFill="1" applyBorder="1" applyAlignment="1">
      <alignment horizontal="center"/>
    </xf>
    <xf numFmtId="164" fontId="24" fillId="0" borderId="4" xfId="2" applyNumberFormat="1" applyFont="1" applyFill="1" applyBorder="1" applyAlignment="1">
      <alignment horizontal="center"/>
    </xf>
    <xf numFmtId="0" fontId="70" fillId="0" borderId="0" xfId="0" applyFont="1" applyFill="1" applyBorder="1" applyAlignment="1">
      <alignment horizontal="center"/>
    </xf>
    <xf numFmtId="0" fontId="4" fillId="0" borderId="5" xfId="0" applyNumberFormat="1" applyFont="1" applyFill="1" applyBorder="1" applyAlignment="1">
      <alignment horizontal="center"/>
    </xf>
    <xf numFmtId="164" fontId="16" fillId="5" borderId="6" xfId="2" applyNumberFormat="1" applyFont="1" applyFill="1" applyBorder="1" applyAlignment="1">
      <alignment horizontal="center"/>
    </xf>
    <xf numFmtId="0" fontId="6" fillId="12" borderId="0" xfId="0" applyFont="1" applyFill="1" applyBorder="1"/>
    <xf numFmtId="170" fontId="4" fillId="12" borderId="0" xfId="0" applyNumberFormat="1" applyFont="1" applyFill="1" applyBorder="1" applyAlignment="1">
      <alignment horizontal="center"/>
    </xf>
    <xf numFmtId="9" fontId="5" fillId="12" borderId="0" xfId="2" applyFont="1" applyFill="1" applyBorder="1" applyAlignment="1">
      <alignment horizontal="center"/>
    </xf>
    <xf numFmtId="169" fontId="5" fillId="12" borderId="0" xfId="2" applyNumberFormat="1" applyFont="1" applyFill="1" applyBorder="1" applyAlignment="1">
      <alignment horizontal="center"/>
    </xf>
    <xf numFmtId="0" fontId="15" fillId="12" borderId="0" xfId="0" applyFont="1" applyFill="1" applyBorder="1" applyAlignment="1">
      <alignment horizontal="center"/>
    </xf>
    <xf numFmtId="0" fontId="3" fillId="12" borderId="0" xfId="0" applyFont="1" applyFill="1" applyBorder="1" applyAlignment="1">
      <alignment horizontal="center"/>
    </xf>
    <xf numFmtId="0" fontId="5" fillId="12" borderId="0" xfId="0" applyNumberFormat="1" applyFont="1" applyFill="1" applyBorder="1" applyAlignment="1">
      <alignment horizontal="center"/>
    </xf>
    <xf numFmtId="2" fontId="0" fillId="8" borderId="0" xfId="0" applyNumberFormat="1" applyFill="1" applyAlignment="1"/>
    <xf numFmtId="6" fontId="3" fillId="0" borderId="0" xfId="0" applyNumberFormat="1" applyFont="1" applyFill="1" applyBorder="1" applyAlignment="1">
      <alignment horizontal="center"/>
    </xf>
    <xf numFmtId="0" fontId="3" fillId="0" borderId="33" xfId="0" applyNumberFormat="1" applyFont="1" applyBorder="1" applyAlignment="1">
      <alignment horizontal="center"/>
    </xf>
    <xf numFmtId="2" fontId="44" fillId="10" borderId="34" xfId="0" applyNumberFormat="1" applyFont="1" applyFill="1" applyBorder="1" applyAlignment="1">
      <alignment horizontal="center"/>
    </xf>
    <xf numFmtId="0" fontId="21" fillId="0" borderId="34" xfId="0" applyNumberFormat="1" applyFont="1" applyBorder="1" applyAlignment="1">
      <alignment horizontal="center"/>
    </xf>
    <xf numFmtId="0" fontId="55" fillId="0" borderId="13" xfId="0" applyFont="1" applyBorder="1" applyAlignment="1">
      <alignment horizontal="center"/>
    </xf>
    <xf numFmtId="164" fontId="72" fillId="0" borderId="14" xfId="2" applyNumberFormat="1" applyFont="1" applyFill="1" applyBorder="1" applyAlignment="1">
      <alignment horizontal="center"/>
    </xf>
    <xf numFmtId="0" fontId="77" fillId="0" borderId="12" xfId="0" applyFont="1" applyBorder="1"/>
    <xf numFmtId="2" fontId="3" fillId="0" borderId="0" xfId="0" applyNumberFormat="1" applyFont="1" applyFill="1" applyBorder="1" applyAlignment="1">
      <alignment horizontal="center"/>
    </xf>
    <xf numFmtId="1" fontId="81" fillId="0" borderId="0" xfId="0" applyNumberFormat="1" applyFont="1" applyFill="1" applyBorder="1" applyAlignment="1">
      <alignment horizontal="center"/>
    </xf>
    <xf numFmtId="6" fontId="27" fillId="0" borderId="0" xfId="0" applyNumberFormat="1" applyFont="1" applyFill="1" applyBorder="1" applyAlignment="1">
      <alignment horizontal="center"/>
    </xf>
    <xf numFmtId="6" fontId="80" fillId="0" borderId="0" xfId="0" applyNumberFormat="1" applyFont="1" applyFill="1" applyBorder="1" applyAlignment="1"/>
    <xf numFmtId="6" fontId="80" fillId="0" borderId="0" xfId="0" applyNumberFormat="1" applyFont="1" applyFill="1" applyBorder="1" applyAlignment="1">
      <alignment horizontal="center"/>
    </xf>
    <xf numFmtId="1" fontId="80" fillId="0" borderId="0" xfId="0" applyNumberFormat="1" applyFont="1" applyFill="1" applyBorder="1" applyAlignment="1">
      <alignment horizontal="center"/>
    </xf>
    <xf numFmtId="0" fontId="81" fillId="0" borderId="0" xfId="0" applyNumberFormat="1" applyFont="1" applyFill="1" applyBorder="1" applyAlignment="1"/>
    <xf numFmtId="0" fontId="6" fillId="0" borderId="18" xfId="0" applyFont="1" applyFill="1" applyBorder="1"/>
    <xf numFmtId="0" fontId="8" fillId="0" borderId="17" xfId="0" applyFont="1" applyFill="1" applyBorder="1" applyAlignment="1">
      <alignment horizontal="center"/>
    </xf>
    <xf numFmtId="0" fontId="51" fillId="5" borderId="1" xfId="0" applyFont="1" applyFill="1" applyBorder="1"/>
    <xf numFmtId="0" fontId="55" fillId="5" borderId="2" xfId="0" applyFont="1" applyFill="1" applyBorder="1" applyAlignment="1">
      <alignment horizontal="center"/>
    </xf>
    <xf numFmtId="0" fontId="72" fillId="7" borderId="7" xfId="0" applyFont="1" applyFill="1" applyBorder="1" applyAlignment="1">
      <alignment horizontal="center"/>
    </xf>
    <xf numFmtId="1" fontId="28" fillId="0" borderId="5" xfId="0" applyNumberFormat="1" applyFont="1" applyBorder="1" applyAlignment="1">
      <alignment horizontal="center"/>
    </xf>
    <xf numFmtId="2" fontId="24" fillId="0" borderId="5" xfId="0" applyNumberFormat="1" applyFont="1" applyBorder="1" applyAlignment="1">
      <alignment horizontal="center"/>
    </xf>
    <xf numFmtId="1" fontId="28" fillId="0" borderId="4" xfId="0" applyNumberFormat="1" applyFont="1" applyBorder="1" applyAlignment="1">
      <alignment horizontal="center"/>
    </xf>
    <xf numFmtId="2" fontId="24" fillId="0" borderId="4" xfId="0" applyNumberFormat="1" applyFont="1" applyBorder="1" applyAlignment="1">
      <alignment horizontal="center"/>
    </xf>
    <xf numFmtId="164" fontId="82" fillId="3" borderId="6" xfId="2" applyNumberFormat="1" applyFont="1" applyFill="1" applyBorder="1" applyAlignment="1">
      <alignment horizontal="center" vertical="center" wrapText="1"/>
    </xf>
    <xf numFmtId="0" fontId="4" fillId="0" borderId="0" xfId="0" applyFont="1" applyFill="1" applyBorder="1" applyAlignment="1">
      <alignment horizontal="center"/>
    </xf>
    <xf numFmtId="3" fontId="3" fillId="5" borderId="6" xfId="0" applyNumberFormat="1" applyFont="1" applyFill="1" applyBorder="1" applyAlignment="1">
      <alignment horizontal="left"/>
    </xf>
    <xf numFmtId="166" fontId="11" fillId="0" borderId="25" xfId="0" applyNumberFormat="1" applyFont="1" applyFill="1" applyBorder="1" applyAlignment="1">
      <alignment horizontal="center"/>
    </xf>
    <xf numFmtId="1" fontId="43" fillId="0" borderId="25" xfId="0" applyNumberFormat="1" applyFont="1" applyFill="1" applyBorder="1" applyAlignment="1">
      <alignment horizontal="center"/>
    </xf>
    <xf numFmtId="1" fontId="43" fillId="0" borderId="25" xfId="0" applyNumberFormat="1" applyFont="1" applyFill="1" applyBorder="1" applyAlignment="1">
      <alignment horizontal="left"/>
    </xf>
    <xf numFmtId="2" fontId="6" fillId="0" borderId="0" xfId="0" applyNumberFormat="1" applyFont="1" applyFill="1" applyBorder="1" applyAlignment="1">
      <alignment horizontal="center"/>
    </xf>
    <xf numFmtId="2" fontId="70" fillId="0" borderId="0" xfId="2" applyNumberFormat="1" applyFont="1" applyFill="1" applyBorder="1" applyAlignment="1">
      <alignment horizontal="right"/>
    </xf>
    <xf numFmtId="0" fontId="51" fillId="13" borderId="12" xfId="0" applyFont="1" applyFill="1" applyBorder="1" applyAlignment="1">
      <alignment wrapText="1"/>
    </xf>
    <xf numFmtId="0" fontId="55" fillId="13" borderId="14" xfId="0" applyFont="1" applyFill="1" applyBorder="1" applyAlignment="1">
      <alignment horizontal="center"/>
    </xf>
    <xf numFmtId="0" fontId="51" fillId="13" borderId="17" xfId="0" applyFont="1" applyFill="1" applyBorder="1" applyAlignment="1">
      <alignment wrapText="1"/>
    </xf>
    <xf numFmtId="0" fontId="55" fillId="13" borderId="0" xfId="0" applyFont="1" applyFill="1" applyBorder="1" applyAlignment="1">
      <alignment horizontal="center"/>
    </xf>
    <xf numFmtId="166" fontId="21" fillId="5" borderId="3" xfId="0" applyNumberFormat="1" applyFont="1" applyFill="1" applyBorder="1" applyAlignment="1">
      <alignment horizontal="center"/>
    </xf>
    <xf numFmtId="0" fontId="3" fillId="0" borderId="0" xfId="0" applyFont="1" applyFill="1" applyBorder="1" applyAlignment="1">
      <alignment horizontal="left"/>
    </xf>
    <xf numFmtId="0" fontId="62" fillId="5" borderId="1" xfId="0" applyFont="1" applyFill="1" applyBorder="1" applyAlignment="1">
      <alignment vertical="center"/>
    </xf>
    <xf numFmtId="3" fontId="3" fillId="5" borderId="6" xfId="0" applyNumberFormat="1" applyFont="1" applyFill="1" applyBorder="1" applyAlignment="1">
      <alignment horizontal="center"/>
    </xf>
    <xf numFmtId="0" fontId="6" fillId="0" borderId="23" xfId="0" applyFont="1" applyFill="1" applyBorder="1"/>
    <xf numFmtId="0" fontId="24" fillId="0" borderId="10" xfId="0" applyFont="1" applyFill="1" applyBorder="1" applyAlignment="1">
      <alignment horizontal="center" vertical="center"/>
    </xf>
    <xf numFmtId="0" fontId="6" fillId="0" borderId="10" xfId="0" applyFont="1" applyFill="1" applyBorder="1" applyAlignment="1">
      <alignment horizontal="center"/>
    </xf>
    <xf numFmtId="0" fontId="24" fillId="0" borderId="24" xfId="0" applyFont="1" applyFill="1" applyBorder="1" applyAlignment="1">
      <alignment horizontal="center" vertical="center"/>
    </xf>
    <xf numFmtId="0" fontId="15" fillId="0" borderId="5" xfId="0" applyFont="1" applyFill="1" applyBorder="1" applyAlignment="1">
      <alignment horizontal="center"/>
    </xf>
    <xf numFmtId="0" fontId="27" fillId="0" borderId="0" xfId="0" applyFont="1" applyFill="1" applyBorder="1" applyAlignment="1"/>
    <xf numFmtId="0" fontId="15" fillId="0" borderId="39" xfId="0" applyFont="1" applyFill="1" applyBorder="1" applyAlignment="1">
      <alignment horizontal="center"/>
    </xf>
    <xf numFmtId="10" fontId="3" fillId="11" borderId="3" xfId="2" applyNumberFormat="1" applyFont="1" applyFill="1" applyBorder="1" applyAlignment="1">
      <alignment horizontal="center" vertical="center"/>
    </xf>
    <xf numFmtId="6" fontId="6" fillId="11" borderId="3" xfId="0" applyNumberFormat="1" applyFont="1" applyFill="1" applyBorder="1" applyAlignment="1">
      <alignment horizontal="center"/>
    </xf>
    <xf numFmtId="0" fontId="3" fillId="11" borderId="1" xfId="0" applyNumberFormat="1" applyFont="1" applyFill="1" applyBorder="1" applyAlignment="1">
      <alignment horizontal="left" vertical="center" wrapText="1"/>
    </xf>
    <xf numFmtId="0" fontId="3" fillId="11" borderId="3" xfId="0" applyNumberFormat="1" applyFont="1" applyFill="1" applyBorder="1" applyAlignment="1">
      <alignment horizontal="left" vertical="center" wrapText="1"/>
    </xf>
    <xf numFmtId="169" fontId="3" fillId="8" borderId="0" xfId="0" applyNumberFormat="1" applyFont="1" applyFill="1" applyAlignment="1">
      <alignment horizontal="center"/>
    </xf>
    <xf numFmtId="9" fontId="6" fillId="8" borderId="0" xfId="2" applyFont="1" applyFill="1" applyAlignment="1">
      <alignment horizontal="center"/>
    </xf>
    <xf numFmtId="169" fontId="4" fillId="8" borderId="0" xfId="0" applyNumberFormat="1" applyFont="1" applyFill="1" applyAlignment="1">
      <alignment horizontal="center"/>
    </xf>
    <xf numFmtId="169" fontId="6" fillId="8" borderId="9" xfId="0" applyNumberFormat="1" applyFont="1" applyFill="1" applyBorder="1" applyAlignment="1">
      <alignment horizontal="center"/>
    </xf>
    <xf numFmtId="9" fontId="6" fillId="8" borderId="9" xfId="2" applyFont="1" applyFill="1" applyBorder="1" applyAlignment="1">
      <alignment horizontal="center"/>
    </xf>
    <xf numFmtId="0" fontId="29" fillId="8" borderId="8" xfId="0" applyFont="1" applyFill="1" applyBorder="1" applyAlignment="1">
      <alignment vertical="center" wrapText="1"/>
    </xf>
    <xf numFmtId="0" fontId="85" fillId="8" borderId="25" xfId="0" applyFont="1" applyFill="1" applyBorder="1" applyAlignment="1">
      <alignment horizontal="center" wrapText="1"/>
    </xf>
    <xf numFmtId="0" fontId="45" fillId="8" borderId="25" xfId="0" applyFont="1" applyFill="1" applyBorder="1" applyAlignment="1">
      <alignment horizontal="center" wrapText="1"/>
    </xf>
    <xf numFmtId="0" fontId="45" fillId="12" borderId="25" xfId="0" applyFont="1" applyFill="1" applyBorder="1"/>
    <xf numFmtId="0" fontId="45" fillId="3" borderId="25" xfId="0" applyFont="1" applyFill="1" applyBorder="1"/>
    <xf numFmtId="0" fontId="84" fillId="6" borderId="25" xfId="0" applyFont="1" applyFill="1" applyBorder="1" applyAlignment="1">
      <alignment horizontal="center" wrapText="1"/>
    </xf>
    <xf numFmtId="0" fontId="86" fillId="0" borderId="25" xfId="0" applyFont="1" applyFill="1" applyBorder="1" applyAlignment="1">
      <alignment horizontal="center" vertical="center" wrapText="1"/>
    </xf>
    <xf numFmtId="3" fontId="55" fillId="0" borderId="21" xfId="0" applyNumberFormat="1" applyFont="1" applyBorder="1" applyAlignment="1">
      <alignment horizontal="center"/>
    </xf>
    <xf numFmtId="3" fontId="49" fillId="0" borderId="21" xfId="0" applyNumberFormat="1" applyFont="1" applyBorder="1" applyAlignment="1">
      <alignment horizontal="center"/>
    </xf>
    <xf numFmtId="3" fontId="49" fillId="0" borderId="0" xfId="0" applyNumberFormat="1" applyFont="1" applyBorder="1" applyAlignment="1">
      <alignment horizontal="center"/>
    </xf>
    <xf numFmtId="166" fontId="21" fillId="5" borderId="2" xfId="0" applyNumberFormat="1" applyFont="1" applyFill="1" applyBorder="1" applyAlignment="1">
      <alignment horizontal="center"/>
    </xf>
    <xf numFmtId="164" fontId="72" fillId="0" borderId="11" xfId="2" applyNumberFormat="1" applyFont="1" applyFill="1" applyBorder="1" applyAlignment="1">
      <alignment horizontal="center"/>
    </xf>
    <xf numFmtId="164" fontId="52" fillId="0" borderId="6" xfId="2" applyNumberFormat="1" applyFont="1" applyFill="1" applyBorder="1" applyAlignment="1">
      <alignment horizontal="center" vertical="center" wrapText="1"/>
    </xf>
    <xf numFmtId="164" fontId="51" fillId="0" borderId="21" xfId="2" applyNumberFormat="1" applyFont="1" applyFill="1" applyBorder="1" applyAlignment="1">
      <alignment horizontal="center"/>
    </xf>
    <xf numFmtId="164" fontId="52" fillId="0" borderId="4" xfId="2" applyNumberFormat="1" applyFont="1" applyFill="1" applyBorder="1" applyAlignment="1">
      <alignment horizontal="center" vertical="center" wrapText="1"/>
    </xf>
    <xf numFmtId="0" fontId="6" fillId="0" borderId="30" xfId="0" applyFont="1" applyBorder="1"/>
    <xf numFmtId="0" fontId="4" fillId="2" borderId="29" xfId="0" applyNumberFormat="1" applyFont="1" applyFill="1" applyBorder="1" applyAlignment="1">
      <alignment horizontal="center"/>
    </xf>
    <xf numFmtId="2" fontId="24" fillId="6" borderId="31" xfId="0" applyNumberFormat="1" applyFont="1" applyFill="1" applyBorder="1" applyAlignment="1">
      <alignment horizontal="center"/>
    </xf>
    <xf numFmtId="0" fontId="68" fillId="5" borderId="40" xfId="0" applyFont="1" applyFill="1" applyBorder="1" applyAlignment="1">
      <alignment horizontal="left" indent="1"/>
    </xf>
    <xf numFmtId="0" fontId="69" fillId="5" borderId="41" xfId="0" applyFont="1" applyFill="1" applyBorder="1" applyAlignment="1">
      <alignment horizontal="center"/>
    </xf>
    <xf numFmtId="169" fontId="16" fillId="5" borderId="42" xfId="0" applyNumberFormat="1" applyFont="1" applyFill="1" applyBorder="1" applyAlignment="1">
      <alignment horizontal="right"/>
    </xf>
    <xf numFmtId="0" fontId="68" fillId="5" borderId="43" xfId="0" applyFont="1" applyFill="1" applyBorder="1" applyAlignment="1">
      <alignment horizontal="left" indent="1"/>
    </xf>
    <xf numFmtId="6" fontId="16" fillId="5" borderId="32" xfId="0" applyNumberFormat="1" applyFont="1" applyFill="1" applyBorder="1" applyAlignment="1">
      <alignment horizontal="right"/>
    </xf>
    <xf numFmtId="0" fontId="68" fillId="5" borderId="43" xfId="0" applyNumberFormat="1" applyFont="1" applyFill="1" applyBorder="1" applyAlignment="1">
      <alignment horizontal="left" indent="1"/>
    </xf>
    <xf numFmtId="169" fontId="68" fillId="5" borderId="44" xfId="0" applyNumberFormat="1" applyFont="1" applyFill="1" applyBorder="1" applyAlignment="1">
      <alignment horizontal="right"/>
    </xf>
    <xf numFmtId="0" fontId="73" fillId="5" borderId="45" xfId="3" applyFont="1" applyFill="1" applyBorder="1" applyAlignment="1" applyProtection="1"/>
    <xf numFmtId="0" fontId="69" fillId="5" borderId="35" xfId="0" applyNumberFormat="1" applyFont="1" applyFill="1" applyBorder="1" applyAlignment="1">
      <alignment horizontal="center"/>
    </xf>
    <xf numFmtId="169" fontId="6" fillId="5" borderId="39" xfId="1" applyNumberFormat="1" applyFont="1" applyFill="1" applyBorder="1" applyAlignment="1">
      <alignment horizontal="right"/>
    </xf>
    <xf numFmtId="0" fontId="6" fillId="0" borderId="40" xfId="0" applyFont="1" applyBorder="1"/>
    <xf numFmtId="0" fontId="4" fillId="2" borderId="41" xfId="0" applyNumberFormat="1" applyFont="1" applyFill="1" applyBorder="1" applyAlignment="1">
      <alignment horizontal="center"/>
    </xf>
    <xf numFmtId="169" fontId="6" fillId="0" borderId="42" xfId="1" applyNumberFormat="1" applyFont="1" applyFill="1" applyBorder="1" applyAlignment="1">
      <alignment horizontal="right"/>
    </xf>
    <xf numFmtId="0" fontId="6" fillId="2" borderId="43" xfId="0" applyNumberFormat="1" applyFont="1" applyFill="1" applyBorder="1" applyAlignment="1"/>
    <xf numFmtId="0" fontId="6" fillId="0" borderId="45" xfId="0" applyNumberFormat="1" applyFont="1" applyFill="1" applyBorder="1" applyAlignment="1"/>
    <xf numFmtId="0" fontId="4" fillId="0" borderId="35" xfId="0" applyNumberFormat="1" applyFont="1" applyFill="1" applyBorder="1" applyAlignment="1">
      <alignment horizontal="center"/>
    </xf>
    <xf numFmtId="169" fontId="6" fillId="0" borderId="39" xfId="1" applyNumberFormat="1" applyFont="1" applyBorder="1" applyAlignment="1">
      <alignment horizontal="right"/>
    </xf>
    <xf numFmtId="0" fontId="6" fillId="2" borderId="40" xfId="0" applyNumberFormat="1" applyFont="1" applyFill="1" applyBorder="1" applyAlignment="1"/>
    <xf numFmtId="0" fontId="4" fillId="0" borderId="41" xfId="0" applyFont="1" applyBorder="1" applyAlignment="1">
      <alignment horizontal="center"/>
    </xf>
    <xf numFmtId="171" fontId="24" fillId="2" borderId="42" xfId="0" applyNumberFormat="1" applyFont="1" applyFill="1" applyBorder="1" applyAlignment="1">
      <alignment horizontal="right"/>
    </xf>
    <xf numFmtId="0" fontId="6" fillId="2" borderId="46" xfId="0" applyNumberFormat="1" applyFont="1" applyFill="1" applyBorder="1" applyAlignment="1"/>
    <xf numFmtId="0" fontId="4" fillId="2" borderId="47" xfId="0" applyNumberFormat="1" applyFont="1" applyFill="1" applyBorder="1" applyAlignment="1">
      <alignment horizontal="center"/>
    </xf>
    <xf numFmtId="0" fontId="6" fillId="0" borderId="40" xfId="0" applyFont="1" applyFill="1" applyBorder="1" applyAlignment="1">
      <alignment horizontal="left"/>
    </xf>
    <xf numFmtId="0" fontId="6" fillId="0" borderId="43" xfId="0" applyFont="1" applyFill="1" applyBorder="1"/>
    <xf numFmtId="0" fontId="24" fillId="0" borderId="32" xfId="0" applyFont="1" applyFill="1" applyBorder="1" applyAlignment="1">
      <alignment horizontal="right"/>
    </xf>
    <xf numFmtId="0" fontId="6" fillId="0" borderId="45" xfId="0" applyFont="1" applyFill="1" applyBorder="1" applyAlignment="1">
      <alignment horizontal="left"/>
    </xf>
    <xf numFmtId="0" fontId="4" fillId="2" borderId="35" xfId="0" applyNumberFormat="1" applyFont="1" applyFill="1" applyBorder="1" applyAlignment="1">
      <alignment horizontal="center"/>
    </xf>
    <xf numFmtId="164" fontId="24" fillId="0" borderId="39" xfId="0" applyNumberFormat="1" applyFont="1" applyFill="1" applyBorder="1" applyAlignment="1">
      <alignment horizontal="right"/>
    </xf>
    <xf numFmtId="0" fontId="6" fillId="0" borderId="40" xfId="0" applyFont="1" applyFill="1" applyBorder="1"/>
    <xf numFmtId="169" fontId="6" fillId="0" borderId="32" xfId="0" applyNumberFormat="1" applyFont="1" applyFill="1" applyBorder="1" applyAlignment="1">
      <alignment horizontal="right"/>
    </xf>
    <xf numFmtId="0" fontId="6" fillId="2" borderId="49" xfId="0" applyNumberFormat="1" applyFont="1" applyFill="1" applyBorder="1" applyAlignment="1"/>
    <xf numFmtId="169" fontId="24" fillId="2" borderId="44" xfId="0" applyNumberFormat="1" applyFont="1" applyFill="1" applyBorder="1" applyAlignment="1">
      <alignment horizontal="right"/>
    </xf>
    <xf numFmtId="164" fontId="24" fillId="2" borderId="44" xfId="2" applyNumberFormat="1" applyFont="1" applyFill="1" applyBorder="1" applyAlignment="1">
      <alignment horizontal="right"/>
    </xf>
    <xf numFmtId="0" fontId="6" fillId="0" borderId="45" xfId="0" applyFont="1" applyFill="1" applyBorder="1"/>
    <xf numFmtId="169" fontId="6" fillId="0" borderId="39" xfId="0" applyNumberFormat="1" applyFont="1" applyFill="1" applyBorder="1" applyAlignment="1">
      <alignment horizontal="right"/>
    </xf>
    <xf numFmtId="164" fontId="24" fillId="0" borderId="32" xfId="2" applyNumberFormat="1" applyFont="1" applyFill="1" applyBorder="1" applyAlignment="1">
      <alignment horizontal="right"/>
    </xf>
    <xf numFmtId="0" fontId="24" fillId="0" borderId="39" xfId="0" applyFont="1" applyFill="1" applyBorder="1" applyAlignment="1">
      <alignment horizontal="right"/>
    </xf>
    <xf numFmtId="0" fontId="24" fillId="0" borderId="42" xfId="0" applyFont="1" applyFill="1" applyBorder="1" applyAlignment="1">
      <alignment horizontal="right"/>
    </xf>
    <xf numFmtId="0" fontId="6" fillId="0" borderId="43" xfId="0" applyFont="1" applyFill="1" applyBorder="1" applyAlignment="1">
      <alignment horizontal="left"/>
    </xf>
    <xf numFmtId="164" fontId="24" fillId="2" borderId="32" xfId="2" applyNumberFormat="1" applyFont="1" applyFill="1" applyBorder="1" applyAlignment="1">
      <alignment horizontal="right"/>
    </xf>
    <xf numFmtId="9" fontId="24" fillId="2" borderId="42" xfId="2" applyNumberFormat="1" applyFont="1" applyFill="1" applyBorder="1" applyAlignment="1">
      <alignment horizontal="right"/>
    </xf>
    <xf numFmtId="10" fontId="24" fillId="2" borderId="48" xfId="2" applyNumberFormat="1" applyFont="1" applyFill="1" applyBorder="1" applyAlignment="1">
      <alignment horizontal="right"/>
    </xf>
    <xf numFmtId="0" fontId="6" fillId="0" borderId="43" xfId="0" applyNumberFormat="1" applyFont="1" applyFill="1" applyBorder="1" applyAlignment="1"/>
    <xf numFmtId="2" fontId="6" fillId="0" borderId="32" xfId="2" applyNumberFormat="1" applyFont="1" applyFill="1" applyBorder="1" applyAlignment="1">
      <alignment horizontal="right"/>
    </xf>
    <xf numFmtId="2" fontId="3" fillId="12" borderId="32" xfId="2" applyNumberFormat="1" applyFont="1" applyFill="1" applyBorder="1" applyAlignment="1">
      <alignment horizontal="right"/>
    </xf>
    <xf numFmtId="2" fontId="24" fillId="0" borderId="32" xfId="2" applyNumberFormat="1" applyFont="1" applyFill="1" applyBorder="1" applyAlignment="1">
      <alignment horizontal="right"/>
    </xf>
    <xf numFmtId="2" fontId="3" fillId="12" borderId="39" xfId="2" applyNumberFormat="1" applyFont="1" applyFill="1" applyBorder="1" applyAlignment="1">
      <alignment horizontal="right"/>
    </xf>
    <xf numFmtId="0" fontId="3" fillId="5" borderId="23" xfId="0" applyNumberFormat="1" applyFont="1" applyFill="1" applyBorder="1" applyAlignment="1"/>
    <xf numFmtId="0" fontId="21" fillId="5" borderId="10" xfId="0" applyNumberFormat="1" applyFont="1" applyFill="1" applyBorder="1" applyAlignment="1">
      <alignment horizontal="center"/>
    </xf>
    <xf numFmtId="166" fontId="21" fillId="5" borderId="24" xfId="0" applyNumberFormat="1" applyFont="1" applyFill="1" applyBorder="1" applyAlignment="1">
      <alignment horizontal="center"/>
    </xf>
    <xf numFmtId="0" fontId="6" fillId="0" borderId="49" xfId="0" applyNumberFormat="1" applyFont="1" applyFill="1" applyBorder="1" applyAlignment="1"/>
    <xf numFmtId="2" fontId="24" fillId="0" borderId="44" xfId="2" applyNumberFormat="1" applyFont="1" applyFill="1" applyBorder="1" applyAlignment="1">
      <alignment horizontal="right"/>
    </xf>
    <xf numFmtId="10" fontId="24" fillId="2" borderId="32" xfId="2" applyNumberFormat="1" applyFont="1" applyFill="1" applyBorder="1" applyAlignment="1">
      <alignment horizontal="right"/>
    </xf>
    <xf numFmtId="0" fontId="6" fillId="2" borderId="45" xfId="0" applyNumberFormat="1" applyFont="1" applyFill="1" applyBorder="1" applyAlignment="1"/>
    <xf numFmtId="9" fontId="6" fillId="2" borderId="42" xfId="2" applyNumberFormat="1" applyFont="1" applyFill="1" applyBorder="1" applyAlignment="1">
      <alignment horizontal="right"/>
    </xf>
    <xf numFmtId="0" fontId="6" fillId="0" borderId="46" xfId="0" applyFont="1" applyFill="1" applyBorder="1"/>
    <xf numFmtId="10" fontId="6" fillId="2" borderId="42" xfId="2" applyNumberFormat="1" applyFont="1" applyFill="1" applyBorder="1" applyAlignment="1">
      <alignment horizontal="right"/>
    </xf>
    <xf numFmtId="169" fontId="24" fillId="2" borderId="39" xfId="0" applyNumberFormat="1" applyFont="1" applyFill="1" applyBorder="1" applyAlignment="1">
      <alignment horizontal="right"/>
    </xf>
    <xf numFmtId="169" fontId="6" fillId="0" borderId="42" xfId="0" applyNumberFormat="1" applyFont="1" applyFill="1" applyBorder="1" applyAlignment="1">
      <alignment horizontal="right"/>
    </xf>
    <xf numFmtId="0" fontId="6" fillId="2" borderId="50" xfId="0" applyNumberFormat="1" applyFont="1" applyFill="1" applyBorder="1" applyAlignment="1"/>
    <xf numFmtId="0" fontId="3" fillId="0" borderId="46" xfId="0" applyFont="1" applyFill="1" applyBorder="1"/>
    <xf numFmtId="169" fontId="3" fillId="0" borderId="48" xfId="0" applyNumberFormat="1" applyFont="1" applyFill="1" applyBorder="1"/>
    <xf numFmtId="9" fontId="24" fillId="6" borderId="42" xfId="2" applyFont="1" applyFill="1" applyBorder="1" applyAlignment="1">
      <alignment horizontal="center"/>
    </xf>
    <xf numFmtId="164" fontId="24" fillId="0" borderId="44" xfId="2" applyNumberFormat="1" applyFont="1" applyFill="1" applyBorder="1" applyAlignment="1">
      <alignment horizontal="right"/>
    </xf>
    <xf numFmtId="0" fontId="6" fillId="0" borderId="35" xfId="0" applyFont="1" applyFill="1" applyBorder="1"/>
    <xf numFmtId="0" fontId="4" fillId="0" borderId="39" xfId="0" applyFont="1" applyFill="1" applyBorder="1" applyAlignment="1">
      <alignment horizontal="center"/>
    </xf>
    <xf numFmtId="164" fontId="24" fillId="0" borderId="39" xfId="2" applyNumberFormat="1" applyFont="1" applyFill="1" applyBorder="1" applyAlignment="1">
      <alignment horizontal="right"/>
    </xf>
    <xf numFmtId="0" fontId="68" fillId="5" borderId="40" xfId="0" applyFont="1" applyFill="1" applyBorder="1"/>
    <xf numFmtId="0" fontId="68" fillId="5" borderId="41" xfId="0" applyFont="1" applyFill="1" applyBorder="1"/>
    <xf numFmtId="2" fontId="16" fillId="5" borderId="42" xfId="0" applyNumberFormat="1" applyFont="1" applyFill="1" applyBorder="1" applyAlignment="1">
      <alignment horizontal="center"/>
    </xf>
    <xf numFmtId="0" fontId="68" fillId="5" borderId="43" xfId="0" applyFont="1" applyFill="1" applyBorder="1"/>
    <xf numFmtId="2" fontId="16" fillId="5" borderId="44" xfId="0" applyNumberFormat="1" applyFont="1" applyFill="1" applyBorder="1" applyAlignment="1">
      <alignment horizontal="right"/>
    </xf>
    <xf numFmtId="0" fontId="68" fillId="5" borderId="53" xfId="0" applyFont="1" applyFill="1" applyBorder="1"/>
    <xf numFmtId="164" fontId="16" fillId="5" borderId="54" xfId="2" applyNumberFormat="1" applyFont="1" applyFill="1" applyBorder="1" applyAlignment="1">
      <alignment horizontal="right"/>
    </xf>
    <xf numFmtId="0" fontId="74" fillId="5" borderId="55" xfId="3" applyFont="1" applyFill="1" applyBorder="1" applyAlignment="1" applyProtection="1"/>
    <xf numFmtId="0" fontId="6" fillId="5" borderId="37" xfId="0" applyFont="1" applyFill="1" applyBorder="1"/>
    <xf numFmtId="0" fontId="6" fillId="5" borderId="56" xfId="0" applyFont="1" applyFill="1" applyBorder="1"/>
    <xf numFmtId="9" fontId="24" fillId="0" borderId="44" xfId="2" applyFont="1" applyFill="1" applyBorder="1" applyAlignment="1">
      <alignment horizontal="right"/>
    </xf>
    <xf numFmtId="0" fontId="24" fillId="6" borderId="32" xfId="0" applyFont="1" applyFill="1" applyBorder="1" applyAlignment="1">
      <alignment horizontal="center"/>
    </xf>
    <xf numFmtId="2" fontId="24" fillId="2" borderId="32" xfId="0" applyNumberFormat="1" applyFont="1" applyFill="1" applyBorder="1" applyAlignment="1">
      <alignment horizontal="right"/>
    </xf>
    <xf numFmtId="0" fontId="6" fillId="0" borderId="55" xfId="0" applyFont="1" applyFill="1" applyBorder="1"/>
    <xf numFmtId="0" fontId="3" fillId="0" borderId="40" xfId="0" applyFont="1" applyFill="1" applyBorder="1"/>
    <xf numFmtId="0" fontId="4" fillId="0" borderId="41" xfId="0" applyFont="1" applyFill="1" applyBorder="1" applyAlignment="1">
      <alignment horizontal="center"/>
    </xf>
    <xf numFmtId="6" fontId="24" fillId="0" borderId="42" xfId="0" applyNumberFormat="1" applyFont="1" applyFill="1" applyBorder="1" applyAlignment="1">
      <alignment horizontal="right"/>
    </xf>
    <xf numFmtId="9" fontId="24" fillId="6" borderId="48" xfId="2" applyFont="1" applyFill="1" applyBorder="1" applyAlignment="1">
      <alignment horizontal="center"/>
    </xf>
    <xf numFmtId="0" fontId="6" fillId="0" borderId="49" xfId="0" applyFont="1" applyFill="1" applyBorder="1"/>
    <xf numFmtId="9" fontId="24" fillId="0" borderId="42" xfId="2" applyFont="1" applyFill="1" applyBorder="1" applyAlignment="1">
      <alignment horizontal="right"/>
    </xf>
    <xf numFmtId="0" fontId="4" fillId="0" borderId="35" xfId="0" applyFont="1" applyFill="1" applyBorder="1" applyAlignment="1">
      <alignment horizontal="center"/>
    </xf>
    <xf numFmtId="0" fontId="6" fillId="0" borderId="60" xfId="0" applyFont="1" applyFill="1" applyBorder="1"/>
    <xf numFmtId="0" fontId="6" fillId="0" borderId="61" xfId="0" applyFont="1" applyFill="1" applyBorder="1"/>
    <xf numFmtId="0" fontId="6" fillId="0" borderId="49" xfId="0" applyFont="1" applyFill="1" applyBorder="1" applyAlignment="1">
      <alignment horizontal="left"/>
    </xf>
    <xf numFmtId="169" fontId="24" fillId="2" borderId="48" xfId="0" applyNumberFormat="1" applyFont="1" applyFill="1" applyBorder="1" applyAlignment="1">
      <alignment horizontal="right"/>
    </xf>
    <xf numFmtId="0" fontId="21" fillId="0" borderId="57" xfId="0" applyFont="1" applyFill="1" applyBorder="1" applyAlignment="1">
      <alignment horizontal="left"/>
    </xf>
    <xf numFmtId="0" fontId="3" fillId="0" borderId="60" xfId="0" applyFont="1" applyFill="1" applyBorder="1" applyAlignment="1">
      <alignment horizontal="center"/>
    </xf>
    <xf numFmtId="0" fontId="3" fillId="0" borderId="61" xfId="0" applyFont="1" applyFill="1" applyBorder="1" applyAlignment="1">
      <alignment horizontal="center"/>
    </xf>
    <xf numFmtId="0" fontId="6" fillId="0" borderId="52" xfId="0" applyFont="1" applyFill="1" applyBorder="1" applyAlignment="1">
      <alignment horizontal="left"/>
    </xf>
    <xf numFmtId="0" fontId="21" fillId="0" borderId="57" xfId="0" applyFont="1" applyFill="1" applyBorder="1"/>
    <xf numFmtId="6" fontId="6" fillId="0" borderId="39" xfId="0" applyNumberFormat="1" applyFont="1" applyFill="1" applyBorder="1" applyAlignment="1">
      <alignment horizontal="right"/>
    </xf>
    <xf numFmtId="0" fontId="6" fillId="0" borderId="61" xfId="0" applyFont="1" applyFill="1" applyBorder="1" applyAlignment="1">
      <alignment horizontal="right"/>
    </xf>
    <xf numFmtId="164" fontId="24" fillId="0" borderId="31" xfId="0" applyNumberFormat="1" applyFont="1" applyFill="1" applyBorder="1" applyAlignment="1">
      <alignment horizontal="right"/>
    </xf>
    <xf numFmtId="0" fontId="21" fillId="0" borderId="1" xfId="0" applyFont="1" applyFill="1" applyBorder="1"/>
    <xf numFmtId="9" fontId="24" fillId="0" borderId="39" xfId="0" applyNumberFormat="1" applyFont="1" applyFill="1" applyBorder="1" applyAlignment="1">
      <alignment horizontal="right"/>
    </xf>
    <xf numFmtId="0" fontId="3" fillId="0" borderId="30" xfId="0" applyFont="1" applyFill="1" applyBorder="1" applyAlignment="1">
      <alignment horizontal="left"/>
    </xf>
    <xf numFmtId="0" fontId="22" fillId="0" borderId="29" xfId="0" applyFont="1" applyFill="1" applyBorder="1" applyAlignment="1">
      <alignment horizontal="center"/>
    </xf>
    <xf numFmtId="0" fontId="22" fillId="0" borderId="31" xfId="0" applyFont="1" applyFill="1" applyBorder="1" applyAlignment="1">
      <alignment horizontal="center"/>
    </xf>
    <xf numFmtId="0" fontId="6" fillId="0" borderId="30" xfId="0" applyFont="1" applyFill="1" applyBorder="1" applyAlignment="1">
      <alignment horizontal="left" indent="1"/>
    </xf>
    <xf numFmtId="164" fontId="24" fillId="0" borderId="29" xfId="2" applyNumberFormat="1" applyFont="1" applyFill="1" applyBorder="1" applyAlignment="1">
      <alignment horizontal="center"/>
    </xf>
    <xf numFmtId="164" fontId="24" fillId="0" borderId="31" xfId="2" applyNumberFormat="1" applyFont="1" applyFill="1" applyBorder="1" applyAlignment="1">
      <alignment horizontal="center"/>
    </xf>
    <xf numFmtId="0" fontId="6" fillId="0" borderId="40" xfId="0" applyFont="1" applyFill="1" applyBorder="1" applyAlignment="1">
      <alignment horizontal="left" indent="1"/>
    </xf>
    <xf numFmtId="164" fontId="24" fillId="0" borderId="41" xfId="2" applyNumberFormat="1" applyFont="1" applyFill="1" applyBorder="1" applyAlignment="1">
      <alignment horizontal="center"/>
    </xf>
    <xf numFmtId="164" fontId="24" fillId="0" borderId="42" xfId="2" applyNumberFormat="1" applyFont="1" applyFill="1" applyBorder="1" applyAlignment="1">
      <alignment horizontal="center"/>
    </xf>
    <xf numFmtId="0" fontId="6" fillId="0" borderId="43" xfId="0" applyFont="1" applyFill="1" applyBorder="1" applyAlignment="1">
      <alignment horizontal="left" indent="1"/>
    </xf>
    <xf numFmtId="164" fontId="24" fillId="0" borderId="32" xfId="2" applyNumberFormat="1" applyFont="1" applyFill="1" applyBorder="1" applyAlignment="1">
      <alignment horizontal="center"/>
    </xf>
    <xf numFmtId="0" fontId="6" fillId="0" borderId="45" xfId="0" applyFont="1" applyFill="1" applyBorder="1" applyAlignment="1">
      <alignment horizontal="left" indent="1"/>
    </xf>
    <xf numFmtId="164" fontId="24" fillId="0" borderId="35" xfId="2" applyNumberFormat="1" applyFont="1" applyFill="1" applyBorder="1" applyAlignment="1">
      <alignment horizontal="center"/>
    </xf>
    <xf numFmtId="164" fontId="24" fillId="0" borderId="39" xfId="2" applyNumberFormat="1" applyFont="1" applyFill="1" applyBorder="1" applyAlignment="1">
      <alignment horizontal="center"/>
    </xf>
    <xf numFmtId="0" fontId="75" fillId="0" borderId="30" xfId="3" applyFont="1" applyFill="1" applyBorder="1" applyAlignment="1" applyProtection="1"/>
    <xf numFmtId="0" fontId="3" fillId="0" borderId="29" xfId="0" applyFont="1" applyFill="1" applyBorder="1"/>
    <xf numFmtId="0" fontId="3" fillId="0" borderId="62" xfId="0" applyFont="1" applyFill="1" applyBorder="1"/>
    <xf numFmtId="0" fontId="3" fillId="0" borderId="31" xfId="0" applyFont="1" applyFill="1" applyBorder="1"/>
    <xf numFmtId="0" fontId="6" fillId="0" borderId="29" xfId="0" applyFont="1" applyBorder="1"/>
    <xf numFmtId="9" fontId="24" fillId="6" borderId="31" xfId="2" applyFont="1" applyFill="1" applyBorder="1" applyAlignment="1">
      <alignment horizontal="center"/>
    </xf>
    <xf numFmtId="164" fontId="24" fillId="0" borderId="42" xfId="2" applyNumberFormat="1" applyFont="1" applyFill="1" applyBorder="1" applyAlignment="1">
      <alignment horizontal="right"/>
    </xf>
    <xf numFmtId="0" fontId="6" fillId="0" borderId="38" xfId="0" applyFont="1" applyFill="1" applyBorder="1"/>
    <xf numFmtId="0" fontId="6" fillId="0" borderId="64" xfId="0" applyFont="1" applyFill="1" applyBorder="1"/>
    <xf numFmtId="0" fontId="4" fillId="2" borderId="21" xfId="0" applyNumberFormat="1" applyFont="1" applyFill="1" applyBorder="1" applyAlignment="1">
      <alignment horizontal="center"/>
    </xf>
    <xf numFmtId="10" fontId="4" fillId="0" borderId="65" xfId="2" applyNumberFormat="1" applyFont="1" applyFill="1" applyBorder="1" applyAlignment="1">
      <alignment horizontal="right"/>
    </xf>
    <xf numFmtId="0" fontId="6" fillId="0" borderId="66" xfId="0" applyFont="1" applyBorder="1"/>
    <xf numFmtId="0" fontId="4" fillId="2" borderId="67" xfId="0" applyNumberFormat="1" applyFont="1" applyFill="1" applyBorder="1" applyAlignment="1">
      <alignment horizontal="center"/>
    </xf>
    <xf numFmtId="2" fontId="24" fillId="6" borderId="68" xfId="0" applyNumberFormat="1" applyFont="1" applyFill="1" applyBorder="1" applyAlignment="1">
      <alignment horizontal="center"/>
    </xf>
    <xf numFmtId="0" fontId="4" fillId="8" borderId="0" xfId="0" applyNumberFormat="1" applyFont="1" applyFill="1" applyAlignment="1">
      <alignment horizontal="right" indent="1"/>
    </xf>
    <xf numFmtId="0" fontId="9" fillId="8" borderId="0" xfId="0" applyNumberFormat="1" applyFont="1" applyFill="1" applyAlignment="1">
      <alignment horizontal="center"/>
    </xf>
    <xf numFmtId="0" fontId="84" fillId="8" borderId="25" xfId="0" applyFont="1" applyFill="1" applyBorder="1" applyAlignment="1">
      <alignment horizontal="center" vertical="center"/>
    </xf>
    <xf numFmtId="0" fontId="6" fillId="14" borderId="0" xfId="0" applyFont="1" applyFill="1" applyBorder="1"/>
    <xf numFmtId="0" fontId="29" fillId="8" borderId="8" xfId="0" applyFont="1" applyFill="1" applyBorder="1" applyAlignment="1">
      <alignment horizontal="left" vertical="center" wrapText="1"/>
    </xf>
    <xf numFmtId="0" fontId="87" fillId="8" borderId="0" xfId="3" applyFont="1" applyFill="1" applyBorder="1" applyAlignment="1" applyProtection="1"/>
    <xf numFmtId="0" fontId="53" fillId="14" borderId="0" xfId="0" applyFont="1" applyFill="1" applyBorder="1"/>
    <xf numFmtId="0" fontId="17" fillId="14" borderId="0" xfId="3" applyFill="1" applyBorder="1" applyAlignment="1" applyProtection="1"/>
    <xf numFmtId="0" fontId="6" fillId="14" borderId="0" xfId="0" applyNumberFormat="1" applyFont="1" applyFill="1" applyBorder="1" applyAlignment="1"/>
    <xf numFmtId="0" fontId="49" fillId="0" borderId="9" xfId="0" applyFont="1" applyBorder="1" applyAlignment="1">
      <alignment horizontal="center"/>
    </xf>
    <xf numFmtId="0" fontId="3" fillId="0" borderId="23" xfId="0" applyFont="1" applyFill="1" applyBorder="1"/>
    <xf numFmtId="0" fontId="6" fillId="0" borderId="69" xfId="0" applyFont="1" applyFill="1" applyBorder="1"/>
    <xf numFmtId="0" fontId="24" fillId="6" borderId="68" xfId="0" applyFont="1" applyFill="1" applyBorder="1" applyAlignment="1">
      <alignment horizontal="center"/>
    </xf>
    <xf numFmtId="0" fontId="24" fillId="6" borderId="44" xfId="0" applyFont="1" applyFill="1" applyBorder="1" applyAlignment="1">
      <alignment horizontal="center"/>
    </xf>
    <xf numFmtId="6" fontId="6" fillId="0" borderId="39" xfId="0" applyNumberFormat="1" applyFont="1" applyFill="1" applyBorder="1"/>
    <xf numFmtId="9" fontId="4" fillId="2" borderId="4" xfId="2" applyFont="1" applyFill="1" applyBorder="1" applyAlignment="1">
      <alignment horizontal="center"/>
    </xf>
    <xf numFmtId="9" fontId="4" fillId="2" borderId="67" xfId="2" applyFont="1" applyFill="1" applyBorder="1" applyAlignment="1">
      <alignment horizontal="center"/>
    </xf>
    <xf numFmtId="0" fontId="87" fillId="8" borderId="0" xfId="3" applyFont="1" applyFill="1" applyBorder="1" applyAlignment="1" applyProtection="1">
      <alignment vertical="center" wrapText="1"/>
    </xf>
    <xf numFmtId="0" fontId="88" fillId="8" borderId="0" xfId="0" applyFont="1" applyFill="1" applyBorder="1" applyAlignment="1">
      <alignment wrapText="1"/>
    </xf>
    <xf numFmtId="0" fontId="29" fillId="8" borderId="23" xfId="0" applyFont="1" applyFill="1" applyBorder="1" applyAlignment="1">
      <alignment vertical="center" wrapText="1"/>
    </xf>
    <xf numFmtId="0" fontId="45" fillId="8" borderId="10" xfId="0" applyFont="1" applyFill="1" applyBorder="1" applyAlignment="1">
      <alignment vertical="center" wrapText="1"/>
    </xf>
    <xf numFmtId="9" fontId="4" fillId="2" borderId="28" xfId="2" applyFont="1" applyFill="1" applyBorder="1" applyAlignment="1">
      <alignment horizontal="center"/>
    </xf>
    <xf numFmtId="6" fontId="6" fillId="0" borderId="51" xfId="0" applyNumberFormat="1" applyFont="1" applyFill="1" applyBorder="1" applyAlignment="1">
      <alignment horizontal="right"/>
    </xf>
    <xf numFmtId="0" fontId="6" fillId="0" borderId="45" xfId="0" applyFont="1" applyBorder="1"/>
    <xf numFmtId="0" fontId="49" fillId="0" borderId="0" xfId="0" applyFont="1" applyBorder="1" applyAlignment="1">
      <alignment horizontal="center"/>
    </xf>
    <xf numFmtId="40" fontId="4" fillId="0" borderId="0" xfId="0" applyNumberFormat="1" applyFont="1" applyAlignment="1">
      <alignment horizontal="center"/>
    </xf>
    <xf numFmtId="0" fontId="89" fillId="0" borderId="17" xfId="0" applyFont="1" applyBorder="1"/>
    <xf numFmtId="0" fontId="51" fillId="0" borderId="9" xfId="0" applyFont="1" applyBorder="1"/>
    <xf numFmtId="9" fontId="49" fillId="0" borderId="21" xfId="2" applyNumberFormat="1" applyFont="1" applyBorder="1" applyAlignment="1">
      <alignment horizontal="center"/>
    </xf>
    <xf numFmtId="40" fontId="49" fillId="0" borderId="21" xfId="0" applyNumberFormat="1" applyFont="1" applyBorder="1" applyAlignment="1">
      <alignment horizontal="center"/>
    </xf>
    <xf numFmtId="0" fontId="55" fillId="0" borderId="0" xfId="0" applyFont="1" applyFill="1" applyBorder="1" applyAlignment="1">
      <alignment horizontal="center"/>
    </xf>
    <xf numFmtId="0" fontId="44" fillId="0" borderId="17" xfId="0" applyFont="1" applyFill="1" applyBorder="1"/>
    <xf numFmtId="0" fontId="51" fillId="0" borderId="6" xfId="0" applyFont="1" applyFill="1" applyBorder="1" applyAlignment="1">
      <alignment horizontal="center"/>
    </xf>
    <xf numFmtId="0" fontId="55" fillId="0" borderId="6" xfId="0" applyFont="1" applyFill="1" applyBorder="1" applyAlignment="1">
      <alignment horizontal="center"/>
    </xf>
    <xf numFmtId="0" fontId="3" fillId="0" borderId="66" xfId="0" applyFont="1" applyFill="1" applyBorder="1"/>
    <xf numFmtId="6" fontId="24" fillId="0" borderId="32" xfId="0" applyNumberFormat="1" applyFont="1" applyFill="1" applyBorder="1" applyAlignment="1">
      <alignment horizontal="right"/>
    </xf>
    <xf numFmtId="169" fontId="24" fillId="0" borderId="32" xfId="0" applyNumberFormat="1" applyFont="1" applyFill="1" applyBorder="1" applyAlignment="1">
      <alignment horizontal="right"/>
    </xf>
    <xf numFmtId="6" fontId="24" fillId="0" borderId="68" xfId="0" applyNumberFormat="1" applyFont="1" applyFill="1" applyBorder="1" applyAlignment="1">
      <alignment horizontal="right"/>
    </xf>
    <xf numFmtId="3" fontId="55" fillId="0" borderId="21" xfId="0" applyNumberFormat="1" applyFont="1" applyBorder="1" applyAlignment="1" applyProtection="1">
      <alignment horizontal="center"/>
    </xf>
    <xf numFmtId="164" fontId="49" fillId="0" borderId="21" xfId="2" applyNumberFormat="1" applyFont="1" applyBorder="1" applyAlignment="1" applyProtection="1">
      <alignment horizontal="center"/>
    </xf>
    <xf numFmtId="0" fontId="49" fillId="0" borderId="21" xfId="0" applyFont="1" applyBorder="1" applyAlignment="1" applyProtection="1">
      <alignment horizontal="center"/>
    </xf>
    <xf numFmtId="9" fontId="49" fillId="0" borderId="21" xfId="2" applyNumberFormat="1" applyFont="1" applyBorder="1" applyAlignment="1" applyProtection="1">
      <alignment horizontal="center"/>
    </xf>
    <xf numFmtId="169" fontId="49" fillId="0" borderId="21" xfId="0" applyNumberFormat="1" applyFont="1" applyBorder="1" applyAlignment="1" applyProtection="1">
      <alignment horizontal="center"/>
    </xf>
    <xf numFmtId="40" fontId="49" fillId="0" borderId="21" xfId="0" applyNumberFormat="1" applyFont="1" applyBorder="1" applyAlignment="1" applyProtection="1">
      <alignment horizontal="center"/>
    </xf>
    <xf numFmtId="9" fontId="49" fillId="0" borderId="21" xfId="0" applyNumberFormat="1" applyFont="1" applyBorder="1" applyAlignment="1" applyProtection="1">
      <alignment horizontal="center"/>
    </xf>
    <xf numFmtId="10" fontId="49" fillId="0" borderId="21" xfId="0" applyNumberFormat="1" applyFont="1" applyBorder="1" applyAlignment="1" applyProtection="1">
      <alignment horizontal="center"/>
    </xf>
    <xf numFmtId="0" fontId="49" fillId="0" borderId="5" xfId="0" applyFont="1" applyBorder="1" applyAlignment="1" applyProtection="1">
      <alignment horizontal="center"/>
    </xf>
    <xf numFmtId="9" fontId="24" fillId="6" borderId="32" xfId="2" applyFont="1" applyFill="1" applyBorder="1" applyAlignment="1">
      <alignment horizontal="center"/>
    </xf>
    <xf numFmtId="0" fontId="92" fillId="0" borderId="0" xfId="0" applyFont="1" applyBorder="1" applyAlignment="1">
      <alignment horizontal="center" vertical="center"/>
    </xf>
    <xf numFmtId="2" fontId="50" fillId="0" borderId="17" xfId="0" applyNumberFormat="1" applyFont="1" applyFill="1" applyBorder="1" applyAlignment="1">
      <alignment horizontal="center" vertical="center"/>
    </xf>
    <xf numFmtId="2" fontId="50" fillId="0" borderId="6" xfId="0" applyNumberFormat="1" applyFont="1" applyFill="1" applyBorder="1" applyAlignment="1">
      <alignment horizontal="center" vertical="center"/>
    </xf>
    <xf numFmtId="0" fontId="50" fillId="0" borderId="17" xfId="0" applyFont="1" applyBorder="1" applyAlignment="1">
      <alignment horizontal="center" vertical="center"/>
    </xf>
    <xf numFmtId="0" fontId="93" fillId="0" borderId="17" xfId="0" applyFont="1" applyFill="1" applyBorder="1" applyAlignment="1">
      <alignment horizontal="center" vertical="center"/>
    </xf>
    <xf numFmtId="0" fontId="93" fillId="0" borderId="0" xfId="0" applyFont="1" applyAlignment="1">
      <alignment horizontal="center" vertical="center"/>
    </xf>
    <xf numFmtId="0" fontId="50" fillId="0" borderId="12" xfId="0" applyFont="1" applyBorder="1" applyAlignment="1">
      <alignment horizontal="center" vertical="center"/>
    </xf>
    <xf numFmtId="0" fontId="92" fillId="0" borderId="14" xfId="0" applyFont="1" applyBorder="1" applyAlignment="1">
      <alignment horizontal="center" vertical="center"/>
    </xf>
    <xf numFmtId="2" fontId="50" fillId="0" borderId="4" xfId="0" applyNumberFormat="1" applyFont="1" applyFill="1" applyBorder="1" applyAlignment="1">
      <alignment horizontal="center" vertical="center"/>
    </xf>
    <xf numFmtId="0" fontId="93" fillId="0" borderId="0" xfId="0" applyFont="1" applyFill="1" applyBorder="1" applyAlignment="1">
      <alignment horizontal="center" vertical="center"/>
    </xf>
    <xf numFmtId="0" fontId="6" fillId="0" borderId="4" xfId="0" applyFont="1" applyFill="1" applyBorder="1"/>
    <xf numFmtId="3" fontId="6" fillId="0" borderId="4" xfId="0" applyNumberFormat="1" applyFont="1" applyFill="1" applyBorder="1"/>
    <xf numFmtId="169" fontId="6" fillId="0" borderId="0" xfId="0" applyNumberFormat="1" applyFont="1" applyFill="1" applyBorder="1" applyAlignment="1"/>
    <xf numFmtId="0" fontId="42" fillId="2" borderId="4" xfId="0" applyNumberFormat="1" applyFont="1" applyFill="1" applyBorder="1" applyAlignment="1" applyProtection="1">
      <alignment vertical="center"/>
    </xf>
    <xf numFmtId="169" fontId="24" fillId="0" borderId="4" xfId="1" applyNumberFormat="1" applyFont="1" applyBorder="1" applyAlignment="1" applyProtection="1">
      <alignment horizontal="center" vertical="center"/>
    </xf>
    <xf numFmtId="9" fontId="24" fillId="2" borderId="5" xfId="2" applyFont="1" applyFill="1" applyBorder="1" applyAlignment="1" applyProtection="1">
      <alignment horizontal="center" vertical="center"/>
    </xf>
    <xf numFmtId="9" fontId="24" fillId="6" borderId="5" xfId="0" applyNumberFormat="1" applyFont="1" applyFill="1" applyBorder="1" applyAlignment="1" applyProtection="1">
      <alignment horizontal="center"/>
    </xf>
    <xf numFmtId="0" fontId="42" fillId="2" borderId="6" xfId="0" applyNumberFormat="1" applyFont="1" applyFill="1" applyBorder="1" applyAlignment="1" applyProtection="1">
      <alignment vertical="center"/>
    </xf>
    <xf numFmtId="169" fontId="24" fillId="0" borderId="6" xfId="1" applyNumberFormat="1" applyFont="1" applyBorder="1" applyAlignment="1" applyProtection="1">
      <alignment horizontal="center" vertical="center"/>
    </xf>
    <xf numFmtId="0" fontId="51" fillId="0" borderId="17" xfId="0" applyFont="1" applyFill="1" applyBorder="1"/>
    <xf numFmtId="171" fontId="49" fillId="0" borderId="21" xfId="0" applyNumberFormat="1" applyFont="1" applyBorder="1" applyAlignment="1">
      <alignment horizontal="center"/>
    </xf>
    <xf numFmtId="3" fontId="24" fillId="0" borderId="4" xfId="0" applyNumberFormat="1" applyFont="1" applyFill="1" applyBorder="1"/>
    <xf numFmtId="9" fontId="24" fillId="0" borderId="4" xfId="0" applyNumberFormat="1" applyFont="1" applyFill="1" applyBorder="1"/>
    <xf numFmtId="169" fontId="6" fillId="0" borderId="9" xfId="0" applyNumberFormat="1" applyFont="1" applyFill="1" applyBorder="1" applyAlignment="1"/>
    <xf numFmtId="0" fontId="21" fillId="0" borderId="0" xfId="0" applyNumberFormat="1" applyFont="1" applyFill="1" applyAlignment="1">
      <alignment horizontal="center"/>
    </xf>
    <xf numFmtId="169" fontId="3" fillId="0" borderId="0" xfId="0" applyNumberFormat="1" applyFont="1" applyFill="1" applyAlignment="1"/>
    <xf numFmtId="0" fontId="6" fillId="0" borderId="0" xfId="0" applyNumberFormat="1" applyFont="1" applyFill="1" applyAlignment="1">
      <alignment horizontal="center"/>
    </xf>
    <xf numFmtId="171" fontId="24" fillId="0" borderId="4" xfId="0" applyNumberFormat="1" applyFont="1" applyFill="1" applyBorder="1"/>
    <xf numFmtId="164" fontId="24" fillId="0" borderId="4" xfId="0" applyNumberFormat="1" applyFont="1" applyFill="1" applyBorder="1"/>
    <xf numFmtId="173" fontId="6" fillId="0" borderId="0" xfId="0" applyNumberFormat="1" applyFont="1" applyFill="1" applyAlignment="1">
      <alignment horizontal="center"/>
    </xf>
    <xf numFmtId="0" fontId="3" fillId="4" borderId="24" xfId="0" applyFont="1" applyFill="1" applyBorder="1" applyAlignment="1">
      <alignment horizontal="center"/>
    </xf>
    <xf numFmtId="174" fontId="24" fillId="0" borderId="44" xfId="5" applyNumberFormat="1" applyFont="1" applyFill="1" applyBorder="1" applyAlignment="1">
      <alignment horizontal="right"/>
    </xf>
    <xf numFmtId="174" fontId="6" fillId="0" borderId="44" xfId="5" applyNumberFormat="1" applyFont="1" applyFill="1" applyBorder="1" applyAlignment="1">
      <alignment horizontal="right"/>
    </xf>
    <xf numFmtId="0" fontId="6" fillId="0" borderId="64" xfId="0" applyNumberFormat="1" applyFont="1" applyFill="1" applyBorder="1" applyAlignment="1"/>
    <xf numFmtId="1" fontId="6" fillId="0" borderId="42" xfId="0" applyNumberFormat="1" applyFont="1" applyFill="1" applyBorder="1" applyAlignment="1">
      <alignment horizontal="right"/>
    </xf>
    <xf numFmtId="1" fontId="6" fillId="0" borderId="44" xfId="0" applyNumberFormat="1" applyFont="1" applyFill="1" applyBorder="1" applyAlignment="1">
      <alignment horizontal="right"/>
    </xf>
    <xf numFmtId="164" fontId="6" fillId="0" borderId="0" xfId="2" applyNumberFormat="1" applyFont="1" applyAlignment="1"/>
    <xf numFmtId="0" fontId="6" fillId="0" borderId="53" xfId="0" applyFont="1" applyFill="1" applyBorder="1" applyAlignment="1">
      <alignment horizontal="left"/>
    </xf>
    <xf numFmtId="0" fontId="4" fillId="0" borderId="6" xfId="0" applyFont="1" applyFill="1" applyBorder="1" applyAlignment="1">
      <alignment horizontal="center"/>
    </xf>
    <xf numFmtId="169" fontId="24" fillId="2" borderId="65" xfId="0" applyNumberFormat="1" applyFont="1" applyFill="1" applyBorder="1" applyAlignment="1">
      <alignment horizontal="right"/>
    </xf>
    <xf numFmtId="0" fontId="6" fillId="0" borderId="30" xfId="0" applyFont="1" applyFill="1" applyBorder="1"/>
    <xf numFmtId="164" fontId="24" fillId="2" borderId="31" xfId="2" applyNumberFormat="1" applyFont="1" applyFill="1" applyBorder="1" applyAlignment="1">
      <alignment horizontal="right"/>
    </xf>
    <xf numFmtId="0" fontId="4" fillId="0" borderId="29" xfId="0" applyFont="1" applyFill="1" applyBorder="1" applyAlignment="1">
      <alignment horizontal="center"/>
    </xf>
    <xf numFmtId="9" fontId="6" fillId="0" borderId="0" xfId="2" applyNumberFormat="1" applyFont="1" applyAlignment="1"/>
    <xf numFmtId="171" fontId="24" fillId="0" borderId="44" xfId="0" applyNumberFormat="1" applyFont="1" applyFill="1" applyBorder="1" applyAlignment="1">
      <alignment horizontal="right"/>
    </xf>
    <xf numFmtId="10" fontId="24" fillId="2" borderId="39" xfId="2" applyNumberFormat="1" applyFont="1" applyFill="1" applyBorder="1" applyAlignment="1">
      <alignment horizontal="right"/>
    </xf>
    <xf numFmtId="9" fontId="49" fillId="0" borderId="21" xfId="2" applyFont="1" applyBorder="1" applyAlignment="1">
      <alignment horizontal="center"/>
    </xf>
    <xf numFmtId="0" fontId="75" fillId="0" borderId="0" xfId="3" applyFont="1" applyFill="1" applyBorder="1" applyAlignment="1" applyProtection="1"/>
    <xf numFmtId="0" fontId="3" fillId="0" borderId="0" xfId="0" applyFont="1" applyFill="1" applyBorder="1"/>
    <xf numFmtId="0" fontId="6" fillId="0" borderId="5" xfId="0" applyFont="1" applyFill="1" applyBorder="1"/>
    <xf numFmtId="9" fontId="24" fillId="0" borderId="5" xfId="0" applyNumberFormat="1" applyFont="1" applyFill="1" applyBorder="1"/>
    <xf numFmtId="0" fontId="6" fillId="2" borderId="5" xfId="0" applyNumberFormat="1" applyFont="1" applyFill="1" applyBorder="1" applyAlignment="1"/>
    <xf numFmtId="0" fontId="21" fillId="0" borderId="5" xfId="0" applyNumberFormat="1" applyFont="1" applyFill="1" applyBorder="1" applyAlignment="1">
      <alignment horizontal="center"/>
    </xf>
    <xf numFmtId="174" fontId="24" fillId="0" borderId="5" xfId="5" applyNumberFormat="1" applyFont="1" applyFill="1" applyBorder="1" applyAlignment="1">
      <alignment horizontal="right"/>
    </xf>
    <xf numFmtId="0" fontId="7" fillId="0" borderId="0" xfId="0" applyFont="1" applyFill="1" applyBorder="1" applyAlignment="1">
      <alignment horizontal="left"/>
    </xf>
    <xf numFmtId="164" fontId="24" fillId="0" borderId="12" xfId="2" applyNumberFormat="1" applyFont="1" applyFill="1" applyBorder="1" applyAlignment="1">
      <alignment horizontal="center"/>
    </xf>
    <xf numFmtId="0" fontId="22" fillId="0" borderId="62" xfId="0" applyFont="1" applyFill="1" applyBorder="1" applyAlignment="1">
      <alignment horizontal="center"/>
    </xf>
    <xf numFmtId="164" fontId="24" fillId="0" borderId="62" xfId="2" applyNumberFormat="1" applyFont="1" applyFill="1" applyBorder="1" applyAlignment="1">
      <alignment horizontal="center"/>
    </xf>
    <xf numFmtId="164" fontId="24" fillId="0" borderId="63" xfId="2" applyNumberFormat="1" applyFont="1" applyFill="1" applyBorder="1" applyAlignment="1">
      <alignment horizontal="center"/>
    </xf>
    <xf numFmtId="164" fontId="24" fillId="0" borderId="36" xfId="2" applyNumberFormat="1" applyFont="1" applyFill="1" applyBorder="1" applyAlignment="1">
      <alignment horizontal="center"/>
    </xf>
    <xf numFmtId="0" fontId="86" fillId="5" borderId="8" xfId="0" applyFont="1" applyFill="1" applyBorder="1" applyAlignment="1">
      <alignment vertical="center"/>
    </xf>
    <xf numFmtId="0" fontId="86" fillId="5" borderId="0" xfId="0" applyFont="1" applyFill="1" applyBorder="1" applyAlignment="1">
      <alignment vertical="center" wrapText="1"/>
    </xf>
    <xf numFmtId="0" fontId="6" fillId="0" borderId="11" xfId="0" applyFont="1" applyFill="1" applyBorder="1"/>
    <xf numFmtId="0" fontId="6" fillId="0" borderId="9" xfId="0" applyFont="1" applyFill="1" applyBorder="1"/>
    <xf numFmtId="169" fontId="6" fillId="0" borderId="4" xfId="2" applyNumberFormat="1" applyFont="1" applyFill="1" applyBorder="1" applyAlignment="1">
      <alignment horizontal="right"/>
    </xf>
    <xf numFmtId="0" fontId="3" fillId="0" borderId="25" xfId="0" applyFont="1" applyFill="1" applyBorder="1" applyAlignment="1">
      <alignment horizontal="center"/>
    </xf>
    <xf numFmtId="164" fontId="24" fillId="0" borderId="12" xfId="2" applyNumberFormat="1" applyFont="1" applyFill="1" applyBorder="1" applyAlignment="1">
      <alignment horizontal="center"/>
    </xf>
    <xf numFmtId="164" fontId="24" fillId="0" borderId="13" xfId="2" applyNumberFormat="1" applyFont="1" applyFill="1" applyBorder="1" applyAlignment="1">
      <alignment horizontal="center"/>
    </xf>
    <xf numFmtId="164" fontId="24" fillId="0" borderId="14" xfId="2" applyNumberFormat="1" applyFont="1" applyFill="1" applyBorder="1" applyAlignment="1">
      <alignment horizontal="center"/>
    </xf>
    <xf numFmtId="164" fontId="24" fillId="0" borderId="36" xfId="2" applyNumberFormat="1" applyFont="1" applyFill="1" applyBorder="1" applyAlignment="1">
      <alignment horizontal="center"/>
    </xf>
    <xf numFmtId="164" fontId="24" fillId="0" borderId="37" xfId="2" applyNumberFormat="1" applyFont="1" applyFill="1" applyBorder="1" applyAlignment="1">
      <alignment horizontal="center"/>
    </xf>
    <xf numFmtId="164" fontId="24" fillId="0" borderId="38" xfId="2" applyNumberFormat="1" applyFont="1" applyFill="1" applyBorder="1" applyAlignment="1">
      <alignment horizontal="center"/>
    </xf>
    <xf numFmtId="0" fontId="3" fillId="0" borderId="62" xfId="0" applyFont="1" applyFill="1" applyBorder="1" applyAlignment="1">
      <alignment horizontal="center"/>
    </xf>
    <xf numFmtId="0" fontId="3" fillId="0" borderId="2" xfId="0" applyFont="1" applyFill="1" applyBorder="1" applyAlignment="1">
      <alignment horizontal="center"/>
    </xf>
    <xf numFmtId="0" fontId="3" fillId="0" borderId="59" xfId="0" applyFont="1" applyFill="1" applyBorder="1" applyAlignment="1">
      <alignment horizontal="center"/>
    </xf>
    <xf numFmtId="0" fontId="8" fillId="5" borderId="2" xfId="0" applyFont="1" applyFill="1" applyBorder="1" applyAlignment="1">
      <alignment horizontal="center" vertical="center"/>
    </xf>
    <xf numFmtId="0" fontId="8" fillId="5" borderId="10" xfId="0" applyFont="1" applyFill="1" applyBorder="1" applyAlignment="1">
      <alignment horizontal="center" vertical="center"/>
    </xf>
    <xf numFmtId="0" fontId="22" fillId="0" borderId="62" xfId="0" applyFont="1" applyFill="1" applyBorder="1" applyAlignment="1">
      <alignment horizontal="center"/>
    </xf>
    <xf numFmtId="0" fontId="22" fillId="0" borderId="2" xfId="0" applyFont="1" applyFill="1" applyBorder="1" applyAlignment="1">
      <alignment horizontal="center"/>
    </xf>
    <xf numFmtId="0" fontId="22" fillId="0" borderId="59" xfId="0" applyFont="1" applyFill="1" applyBorder="1" applyAlignment="1">
      <alignment horizontal="center"/>
    </xf>
    <xf numFmtId="164" fontId="24" fillId="0" borderId="62" xfId="2" applyNumberFormat="1" applyFont="1" applyFill="1" applyBorder="1" applyAlignment="1">
      <alignment horizontal="center"/>
    </xf>
    <xf numFmtId="164" fontId="24" fillId="0" borderId="2" xfId="2" applyNumberFormat="1" applyFont="1" applyFill="1" applyBorder="1" applyAlignment="1">
      <alignment horizontal="center"/>
    </xf>
    <xf numFmtId="164" fontId="24" fillId="0" borderId="59" xfId="2" applyNumberFormat="1" applyFont="1" applyFill="1" applyBorder="1" applyAlignment="1">
      <alignment horizontal="center"/>
    </xf>
    <xf numFmtId="164" fontId="24" fillId="0" borderId="63" xfId="2" applyNumberFormat="1" applyFont="1" applyFill="1" applyBorder="1" applyAlignment="1">
      <alignment horizontal="center"/>
    </xf>
    <xf numFmtId="164" fontId="24" fillId="0" borderId="60" xfId="2" applyNumberFormat="1" applyFont="1" applyFill="1" applyBorder="1" applyAlignment="1">
      <alignment horizontal="center"/>
    </xf>
    <xf numFmtId="164" fontId="24" fillId="0" borderId="58" xfId="2" applyNumberFormat="1" applyFont="1" applyFill="1" applyBorder="1" applyAlignment="1">
      <alignment horizontal="center"/>
    </xf>
    <xf numFmtId="0" fontId="65" fillId="0" borderId="0" xfId="0" applyFont="1" applyFill="1" applyBorder="1" applyAlignment="1">
      <alignment horizontal="center"/>
    </xf>
    <xf numFmtId="0" fontId="54" fillId="0" borderId="12" xfId="0" applyFont="1" applyBorder="1" applyAlignment="1">
      <alignment horizontal="center" vertical="center" wrapText="1"/>
    </xf>
    <xf numFmtId="0" fontId="54" fillId="0" borderId="13" xfId="0" applyFont="1" applyBorder="1" applyAlignment="1">
      <alignment horizontal="center" vertical="center" wrapText="1"/>
    </xf>
    <xf numFmtId="0" fontId="54" fillId="0" borderId="14" xfId="0" applyFont="1" applyBorder="1" applyAlignment="1">
      <alignment horizontal="center" vertical="center" wrapText="1"/>
    </xf>
    <xf numFmtId="0" fontId="49" fillId="0" borderId="0" xfId="0" applyFont="1" applyBorder="1" applyAlignment="1">
      <alignment horizontal="center" vertical="center"/>
    </xf>
    <xf numFmtId="0" fontId="49" fillId="0" borderId="0" xfId="0" applyFont="1" applyBorder="1" applyAlignment="1">
      <alignment horizontal="center"/>
    </xf>
    <xf numFmtId="0" fontId="56" fillId="6" borderId="1" xfId="0" applyFont="1" applyFill="1" applyBorder="1" applyAlignment="1">
      <alignment horizontal="center" vertical="center" wrapText="1"/>
    </xf>
    <xf numFmtId="0" fontId="56" fillId="6" borderId="2" xfId="0" applyFont="1" applyFill="1" applyBorder="1" applyAlignment="1">
      <alignment horizontal="center" vertical="center" wrapText="1"/>
    </xf>
    <xf numFmtId="0" fontId="56" fillId="6" borderId="3" xfId="0" applyFont="1" applyFill="1" applyBorder="1" applyAlignment="1">
      <alignment horizontal="center" vertical="center" wrapText="1"/>
    </xf>
    <xf numFmtId="0" fontId="66" fillId="0" borderId="19" xfId="0" applyFont="1" applyBorder="1" applyAlignment="1">
      <alignment horizontal="center" vertical="center" wrapText="1"/>
    </xf>
    <xf numFmtId="0" fontId="66" fillId="0" borderId="15" xfId="0" applyFont="1" applyBorder="1" applyAlignment="1">
      <alignment horizontal="center" vertical="center" wrapText="1"/>
    </xf>
    <xf numFmtId="0" fontId="66" fillId="0" borderId="20" xfId="0" applyFont="1" applyBorder="1" applyAlignment="1">
      <alignment horizontal="center" vertical="center" wrapText="1"/>
    </xf>
    <xf numFmtId="0" fontId="66" fillId="0" borderId="16" xfId="0" applyFont="1" applyBorder="1" applyAlignment="1">
      <alignment horizontal="center" vertical="center" wrapText="1"/>
    </xf>
    <xf numFmtId="0" fontId="66" fillId="0" borderId="12" xfId="0" applyFont="1" applyBorder="1" applyAlignment="1">
      <alignment horizontal="center"/>
    </xf>
    <xf numFmtId="0" fontId="66" fillId="0" borderId="14" xfId="0" applyFont="1" applyBorder="1" applyAlignment="1">
      <alignment horizontal="center"/>
    </xf>
    <xf numFmtId="0" fontId="3" fillId="8" borderId="0" xfId="0" applyNumberFormat="1" applyFont="1" applyFill="1" applyAlignment="1">
      <alignment horizontal="center"/>
    </xf>
    <xf numFmtId="0" fontId="3" fillId="11" borderId="1" xfId="0" applyNumberFormat="1" applyFont="1" applyFill="1" applyBorder="1" applyAlignment="1">
      <alignment horizontal="left" vertical="center" wrapText="1"/>
    </xf>
    <xf numFmtId="0" fontId="3" fillId="11" borderId="3" xfId="0" applyNumberFormat="1" applyFont="1" applyFill="1" applyBorder="1" applyAlignment="1">
      <alignment horizontal="left" vertical="center" wrapText="1"/>
    </xf>
    <xf numFmtId="178" fontId="3" fillId="11" borderId="1" xfId="0" applyNumberFormat="1" applyFont="1" applyFill="1" applyBorder="1" applyAlignment="1">
      <alignment horizontal="left"/>
    </xf>
    <xf numFmtId="178" fontId="3" fillId="11" borderId="3" xfId="0" applyNumberFormat="1" applyFont="1" applyFill="1" applyBorder="1" applyAlignment="1">
      <alignment horizontal="left"/>
    </xf>
    <xf numFmtId="0" fontId="38" fillId="4" borderId="1" xfId="0" applyFont="1" applyFill="1" applyBorder="1" applyAlignment="1">
      <alignment horizontal="center" vertical="center" wrapText="1"/>
    </xf>
    <xf numFmtId="0" fontId="38" fillId="4" borderId="2" xfId="0" applyFont="1" applyFill="1" applyBorder="1" applyAlignment="1">
      <alignment horizontal="center" vertical="center" wrapText="1"/>
    </xf>
    <xf numFmtId="0" fontId="38" fillId="4" borderId="3" xfId="0" applyFont="1" applyFill="1" applyBorder="1" applyAlignment="1">
      <alignment horizontal="center" vertical="center" wrapText="1"/>
    </xf>
    <xf numFmtId="0" fontId="28" fillId="0" borderId="12" xfId="0" applyFont="1" applyBorder="1" applyAlignment="1">
      <alignment horizontal="left" wrapText="1"/>
    </xf>
    <xf numFmtId="0" fontId="28" fillId="0" borderId="14" xfId="0" applyFont="1" applyBorder="1" applyAlignment="1">
      <alignment horizontal="left" wrapText="1"/>
    </xf>
  </cellXfs>
  <cellStyles count="6">
    <cellStyle name="Comma" xfId="5" builtinId="3"/>
    <cellStyle name="Currency" xfId="1" builtinId="4"/>
    <cellStyle name="Hyperlink" xfId="3" builtinId="8"/>
    <cellStyle name="Normal" xfId="0" builtinId="0"/>
    <cellStyle name="Percent" xfId="2" builtinId="5"/>
    <cellStyle name="Percent 2" xfId="4" xr:uid="{00000000-0005-0000-0000-000005000000}"/>
  </cellStyles>
  <dxfs count="144">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font>
    </dxf>
    <dxf>
      <fill>
        <patternFill patternType="none">
          <bgColor auto="1"/>
        </patternFill>
      </fill>
    </dxf>
    <dxf>
      <fill>
        <patternFill patternType="none">
          <bgColor auto="1"/>
        </patternFill>
      </fill>
    </dxf>
    <dxf>
      <font>
        <color auto="1"/>
      </font>
      <fill>
        <patternFill>
          <bgColor rgb="FF00B050"/>
        </patternFill>
      </fill>
    </dxf>
    <dxf>
      <font>
        <color auto="1"/>
      </font>
      <fill>
        <patternFill>
          <bgColor rgb="FF00B050"/>
        </patternFill>
      </fill>
    </dxf>
    <dxf>
      <font>
        <color theme="0" tint="-0.14996795556505021"/>
      </font>
      <fill>
        <patternFill>
          <fgColor auto="1"/>
          <bgColor theme="0" tint="-0.14993743705557422"/>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ill>
        <patternFill>
          <bgColor rgb="FFFF0000"/>
        </patternFill>
      </fill>
    </dxf>
    <dxf>
      <fill>
        <patternFill patternType="none">
          <bgColor auto="1"/>
        </patternFill>
      </fill>
    </dxf>
    <dxf>
      <font>
        <color theme="0" tint="-0.14996795556505021"/>
      </font>
      <fill>
        <patternFill>
          <bgColor theme="0" tint="-0.14996795556505021"/>
        </patternFill>
      </fill>
    </dxf>
    <dxf>
      <fill>
        <patternFill patternType="none">
          <bgColor auto="1"/>
        </patternFill>
      </fill>
    </dxf>
    <dxf>
      <font>
        <color theme="0" tint="-0.14996795556505021"/>
      </font>
      <fill>
        <patternFill>
          <fgColor auto="1"/>
          <bgColor theme="0" tint="-0.14993743705557422"/>
        </patternFill>
      </fill>
    </dxf>
    <dxf>
      <font>
        <color rgb="FF0070C0"/>
      </font>
      <fill>
        <patternFill>
          <bgColor theme="0"/>
        </patternFill>
      </fill>
    </dxf>
    <dxf>
      <font>
        <color rgb="FF0070C0"/>
      </font>
      <fill>
        <patternFill>
          <bgColor theme="0"/>
        </patternFill>
      </fill>
    </dxf>
    <dxf>
      <fill>
        <patternFill patternType="none">
          <bgColor auto="1"/>
        </patternFill>
      </fill>
    </dxf>
    <dxf>
      <fill>
        <patternFill>
          <bgColor rgb="FF00B050"/>
        </patternFill>
      </fill>
    </dxf>
    <dxf>
      <font>
        <color theme="0" tint="-0.14996795556505021"/>
      </font>
      <fill>
        <patternFill>
          <bgColor theme="0" tint="-0.14996795556505021"/>
        </patternFill>
      </fill>
    </dxf>
    <dxf>
      <font>
        <color theme="0" tint="-0.14996795556505021"/>
      </font>
      <fill>
        <patternFill>
          <bgColor theme="0" tint="-0.14996795556505021"/>
        </patternFill>
      </fill>
    </dxf>
    <dxf>
      <fill>
        <patternFill>
          <bgColor rgb="FFFF0000"/>
        </patternFill>
      </fill>
    </dxf>
    <dxf>
      <font>
        <color theme="0" tint="-0.14996795556505021"/>
      </font>
      <fill>
        <patternFill>
          <bgColor theme="0" tint="-0.14996795556505021"/>
        </patternFill>
      </fill>
    </dxf>
    <dxf>
      <font>
        <color theme="0" tint="-0.14996795556505021"/>
      </font>
      <fill>
        <patternFill>
          <bgColor theme="0" tint="-0.14996795556505021"/>
        </patternFill>
      </fill>
    </dxf>
    <dxf>
      <fill>
        <patternFill>
          <bgColor rgb="FFFF0000"/>
        </patternFill>
      </fill>
    </dxf>
    <dxf>
      <fill>
        <patternFill patternType="none">
          <bgColor auto="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ont>
        <color theme="0" tint="-0.14996795556505021"/>
      </font>
      <fill>
        <patternFill>
          <bgColor theme="0" tint="-0.14996795556505021"/>
        </patternFill>
      </fill>
    </dxf>
    <dxf>
      <font>
        <color theme="0" tint="-0.14996795556505021"/>
      </font>
      <fill>
        <patternFill>
          <bgColor theme="0" tint="-0.14996795556505021"/>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patternType="none">
          <bgColor auto="1"/>
        </patternFill>
      </fill>
    </dxf>
    <dxf>
      <fill>
        <patternFill patternType="none">
          <bgColor auto="1"/>
        </patternFill>
      </fill>
    </dxf>
    <dxf>
      <fill>
        <patternFill patternType="none">
          <bgColor auto="1"/>
        </patternFill>
      </fill>
    </dxf>
    <dxf>
      <fill>
        <patternFill>
          <bgColor rgb="FFFF0000"/>
        </patternFill>
      </fill>
    </dxf>
    <dxf>
      <fill>
        <patternFill>
          <bgColor rgb="FFFF0000"/>
        </patternFill>
      </fill>
    </dxf>
    <dxf>
      <fill>
        <patternFill patternType="none">
          <bgColor auto="1"/>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00B050"/>
        </patternFill>
      </fill>
    </dxf>
    <dxf>
      <fill>
        <patternFill patternType="none">
          <bgColor auto="1"/>
        </patternFill>
      </fill>
    </dxf>
    <dxf>
      <fill>
        <patternFill>
          <bgColor rgb="FFFF0000"/>
        </patternFill>
      </fill>
    </dxf>
    <dxf>
      <fill>
        <patternFill patternType="none">
          <bgColor auto="1"/>
        </patternFill>
      </fill>
    </dxf>
    <dxf>
      <fill>
        <patternFill>
          <bgColor rgb="FF00B050"/>
        </patternFill>
      </fill>
    </dxf>
    <dxf>
      <fill>
        <patternFill>
          <bgColor rgb="FF00B050"/>
        </patternFill>
      </fill>
    </dxf>
    <dxf>
      <fill>
        <patternFill>
          <bgColor rgb="FFFF0000"/>
        </patternFill>
      </fill>
    </dxf>
    <dxf>
      <fill>
        <patternFill>
          <bgColor rgb="FFFF0000"/>
        </patternFill>
      </fill>
    </dxf>
    <dxf>
      <font>
        <color theme="0" tint="-0.14996795556505021"/>
      </font>
      <fill>
        <patternFill>
          <bgColor theme="0" tint="-0.14996795556505021"/>
        </patternFill>
      </fill>
    </dxf>
    <dxf>
      <fill>
        <patternFill>
          <bgColor rgb="FFFF0000"/>
        </patternFill>
      </fill>
    </dxf>
    <dxf>
      <fill>
        <patternFill>
          <bgColor rgb="FFFF0000"/>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theme="4"/>
      </font>
      <fill>
        <patternFill patternType="none">
          <bgColor auto="1"/>
        </patternFill>
      </fill>
    </dxf>
    <dxf>
      <font>
        <color auto="1"/>
      </font>
      <fill>
        <patternFill patternType="none">
          <bgColor auto="1"/>
        </patternFill>
      </fill>
    </dxf>
    <dxf>
      <font>
        <color auto="1"/>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theme="0" tint="-0.14996795556505021"/>
      </font>
      <fill>
        <patternFill>
          <bgColor theme="0" tint="-0.14996795556505021"/>
        </patternFill>
      </fill>
    </dxf>
    <dxf>
      <font>
        <color theme="3" tint="0.39994506668294322"/>
      </font>
      <fill>
        <patternFill>
          <bgColor rgb="FFFFFF99"/>
        </patternFill>
      </fill>
    </dxf>
    <dxf>
      <font>
        <color auto="1"/>
      </font>
      <fill>
        <patternFill patternType="none">
          <bgColor auto="1"/>
        </patternFill>
      </fill>
    </dxf>
    <dxf>
      <fill>
        <patternFill patternType="none">
          <bgColor auto="1"/>
        </patternFill>
      </fill>
    </dxf>
    <dxf>
      <font>
        <color theme="3" tint="0.39994506668294322"/>
      </font>
      <fill>
        <patternFill patternType="none">
          <bgColor auto="1"/>
        </patternFill>
      </fill>
    </dxf>
    <dxf>
      <font>
        <color theme="3" tint="0.39994506668294322"/>
      </font>
      <fill>
        <patternFill patternType="none">
          <bgColor auto="1"/>
        </patternFill>
      </fill>
    </dxf>
    <dxf>
      <font>
        <color theme="4"/>
      </font>
      <fill>
        <patternFill patternType="none">
          <bgColor auto="1"/>
        </patternFill>
      </fill>
    </dxf>
    <dxf>
      <font>
        <color auto="1"/>
      </font>
      <fill>
        <patternFill patternType="none">
          <bgColor auto="1"/>
        </patternFill>
      </fill>
    </dxf>
    <dxf>
      <font>
        <color auto="1"/>
      </font>
      <fill>
        <patternFill patternType="none">
          <bgColor auto="1"/>
        </patternFill>
      </fill>
    </dxf>
    <dxf>
      <font>
        <color theme="0" tint="-0.14996795556505021"/>
      </font>
      <fill>
        <patternFill>
          <bgColor theme="0" tint="-0.14996795556505021"/>
        </patternFill>
      </fill>
    </dxf>
    <dxf>
      <font>
        <color theme="3" tint="0.39994506668294322"/>
      </font>
      <fill>
        <patternFill patternType="none">
          <bgColor auto="1"/>
        </patternFill>
      </fill>
    </dxf>
    <dxf>
      <font>
        <color theme="3" tint="0.39994506668294322"/>
      </font>
      <fill>
        <patternFill patternType="none">
          <bgColor auto="1"/>
        </patternFill>
      </fill>
    </dxf>
    <dxf>
      <font>
        <color theme="3" tint="0.39994506668294322"/>
      </font>
      <fill>
        <patternFill patternType="none">
          <bgColor auto="1"/>
        </patternFill>
      </fill>
    </dxf>
    <dxf>
      <font>
        <color auto="1"/>
      </font>
      <fill>
        <patternFill patternType="none">
          <bgColor auto="1"/>
        </patternFill>
      </fill>
    </dxf>
    <dxf>
      <font>
        <color theme="3" tint="0.39994506668294322"/>
      </font>
      <fill>
        <patternFill patternType="none">
          <bgColor auto="1"/>
        </patternFill>
      </fill>
    </dxf>
    <dxf>
      <font>
        <b/>
        <i val="0"/>
        <color rgb="FFFFFF00"/>
      </font>
      <fill>
        <patternFill>
          <bgColor rgb="FFFF0000"/>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b/>
        <i val="0"/>
        <color rgb="FFFFFF00"/>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ont>
        <color theme="0" tint="-0.14996795556505021"/>
      </font>
      <fill>
        <patternFill>
          <bgColor theme="0" tint="-0.14996795556505021"/>
        </patternFill>
      </fill>
    </dxf>
    <dxf>
      <fill>
        <patternFill>
          <bgColor rgb="FF00B050"/>
        </patternFill>
      </fill>
    </dxf>
    <dxf>
      <fill>
        <patternFill>
          <bgColor rgb="FF00B050"/>
        </patternFill>
      </fill>
    </dxf>
    <dxf>
      <font>
        <color theme="0" tint="-0.14996795556505021"/>
      </font>
      <fill>
        <patternFill>
          <bgColor theme="0" tint="-0.14996795556505021"/>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s>
  <tableStyles count="0" defaultTableStyle="TableStyleMedium9" defaultPivotStyle="PivotStyleLight16"/>
  <colors>
    <mruColors>
      <color rgb="FFFFFF99"/>
      <color rgb="FF000000"/>
      <color rgb="FF1C1C1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1"/>
    </c:title>
    <c:autoTitleDeleted val="0"/>
    <c:plotArea>
      <c:layout/>
      <c:lineChart>
        <c:grouping val="standard"/>
        <c:varyColors val="0"/>
        <c:ser>
          <c:idx val="0"/>
          <c:order val="0"/>
          <c:tx>
            <c:strRef>
              <c:f>'Annual Cash Flows &amp; Returns'!$N$4</c:f>
              <c:strCache>
                <c:ptCount val="1"/>
                <c:pt idx="0">
                  <c:v>Cumulative Cash Flow</c:v>
                </c:pt>
              </c:strCache>
            </c:strRef>
          </c:tx>
          <c:marker>
            <c:symbol val="none"/>
          </c:marker>
          <c:cat>
            <c:numRef>
              <c:f>'Annual Cash Flows &amp; Returns'!$B$6:$B$36</c:f>
              <c:numCache>
                <c:formatCode>General</c:formatCod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numCache>
            </c:numRef>
          </c:cat>
          <c:val>
            <c:numRef>
              <c:f>'Annual Cash Flows &amp; Returns'!$N$6:$N$36</c:f>
              <c:numCache>
                <c:formatCode>"$"#,##0_);[Red]\("$"#,##0\)</c:formatCode>
                <c:ptCount val="31"/>
                <c:pt idx="0">
                  <c:v>-10402500</c:v>
                </c:pt>
                <c:pt idx="1">
                  <c:v>-4055224.6676718667</c:v>
                </c:pt>
                <c:pt idx="2">
                  <c:v>-1948431.3394927946</c:v>
                </c:pt>
                <c:pt idx="3">
                  <c:v>-610425.90685227234</c:v>
                </c:pt>
                <c:pt idx="4">
                  <c:v>247638.54416270566</c:v>
                </c:pt>
                <c:pt idx="5">
                  <c:v>1115804.592581002</c:v>
                </c:pt>
                <c:pt idx="6">
                  <c:v>1611680.2521835235</c:v>
                </c:pt>
                <c:pt idx="7">
                  <c:v>1733697.5584140478</c:v>
                </c:pt>
                <c:pt idx="8">
                  <c:v>1806931.3512257454</c:v>
                </c:pt>
                <c:pt idx="9">
                  <c:v>1829449.7119588305</c:v>
                </c:pt>
                <c:pt idx="10">
                  <c:v>1860047.9649978301</c:v>
                </c:pt>
                <c:pt idx="11">
                  <c:v>1837867.104432778</c:v>
                </c:pt>
                <c:pt idx="12">
                  <c:v>1760510.7960305621</c:v>
                </c:pt>
                <c:pt idx="13">
                  <c:v>1625493.6595668283</c:v>
                </c:pt>
                <c:pt idx="14">
                  <c:v>2672973.6400209097</c:v>
                </c:pt>
                <c:pt idx="15">
                  <c:v>3330563.262969078</c:v>
                </c:pt>
                <c:pt idx="16">
                  <c:v>3947339.3887168537</c:v>
                </c:pt>
                <c:pt idx="17">
                  <c:v>4522088.9118021792</c:v>
                </c:pt>
                <c:pt idx="18">
                  <c:v>5056214.6317435047</c:v>
                </c:pt>
                <c:pt idx="19">
                  <c:v>5548406.2141860826</c:v>
                </c:pt>
                <c:pt idx="20">
                  <c:v>7128874.030202507</c:v>
                </c:pt>
                <c:pt idx="21">
                  <c:v>7128874.030202507</c:v>
                </c:pt>
                <c:pt idx="22">
                  <c:v>7128874.030202507</c:v>
                </c:pt>
                <c:pt idx="23">
                  <c:v>7128874.030202507</c:v>
                </c:pt>
                <c:pt idx="24">
                  <c:v>7128874.030202507</c:v>
                </c:pt>
                <c:pt idx="25">
                  <c:v>7128874.030202507</c:v>
                </c:pt>
                <c:pt idx="26">
                  <c:v>7128874.030202507</c:v>
                </c:pt>
                <c:pt idx="27">
                  <c:v>7128874.030202507</c:v>
                </c:pt>
                <c:pt idx="28">
                  <c:v>7128874.030202507</c:v>
                </c:pt>
                <c:pt idx="29">
                  <c:v>7128874.030202507</c:v>
                </c:pt>
                <c:pt idx="30">
                  <c:v>7128874.030202507</c:v>
                </c:pt>
              </c:numCache>
            </c:numRef>
          </c:val>
          <c:smooth val="0"/>
          <c:extLst>
            <c:ext xmlns:c16="http://schemas.microsoft.com/office/drawing/2014/chart" uri="{C3380CC4-5D6E-409C-BE32-E72D297353CC}">
              <c16:uniqueId val="{00000000-68F7-4B4A-94F0-A10C746ECFD2}"/>
            </c:ext>
          </c:extLst>
        </c:ser>
        <c:dLbls>
          <c:showLegendKey val="0"/>
          <c:showVal val="0"/>
          <c:showCatName val="0"/>
          <c:showSerName val="0"/>
          <c:showPercent val="0"/>
          <c:showBubbleSize val="0"/>
        </c:dLbls>
        <c:smooth val="0"/>
        <c:axId val="140757248"/>
        <c:axId val="107368832"/>
      </c:lineChart>
      <c:catAx>
        <c:axId val="140757248"/>
        <c:scaling>
          <c:orientation val="minMax"/>
        </c:scaling>
        <c:delete val="0"/>
        <c:axPos val="b"/>
        <c:title>
          <c:tx>
            <c:rich>
              <a:bodyPr/>
              <a:lstStyle/>
              <a:p>
                <a:pPr>
                  <a:defRPr sz="1100"/>
                </a:pPr>
                <a:r>
                  <a:rPr lang="en-US" sz="1100"/>
                  <a:t>Project Year</a:t>
                </a:r>
              </a:p>
            </c:rich>
          </c:tx>
          <c:overlay val="0"/>
        </c:title>
        <c:numFmt formatCode="General" sourceLinked="1"/>
        <c:majorTickMark val="out"/>
        <c:minorTickMark val="none"/>
        <c:tickLblPos val="nextTo"/>
        <c:crossAx val="107368832"/>
        <c:crosses val="autoZero"/>
        <c:auto val="1"/>
        <c:lblAlgn val="ctr"/>
        <c:lblOffset val="100"/>
        <c:tickLblSkip val="5"/>
        <c:noMultiLvlLbl val="0"/>
      </c:catAx>
      <c:valAx>
        <c:axId val="107368832"/>
        <c:scaling>
          <c:orientation val="minMax"/>
        </c:scaling>
        <c:delete val="0"/>
        <c:axPos val="l"/>
        <c:title>
          <c:tx>
            <c:rich>
              <a:bodyPr rot="-5400000" vert="horz"/>
              <a:lstStyle/>
              <a:p>
                <a:pPr>
                  <a:defRPr sz="1100" b="1"/>
                </a:pPr>
                <a:r>
                  <a:rPr lang="en-US" sz="1100" b="1"/>
                  <a:t>Cumulative Cash Flow ($)</a:t>
                </a:r>
              </a:p>
            </c:rich>
          </c:tx>
          <c:overlay val="0"/>
        </c:title>
        <c:numFmt formatCode="&quot;$&quot;#,##0_);[Red]\(&quot;$&quot;#,##0\)" sourceLinked="1"/>
        <c:majorTickMark val="out"/>
        <c:minorTickMark val="none"/>
        <c:tickLblPos val="nextTo"/>
        <c:crossAx val="140757248"/>
        <c:crosses val="autoZero"/>
        <c:crossBetween val="between"/>
      </c:valAx>
      <c:spPr>
        <a:solidFill>
          <a:srgbClr val="FFFF99"/>
        </a:solidFill>
      </c:spPr>
    </c:plotArea>
    <c:plotVisOnly val="1"/>
    <c:dispBlanksAs val="gap"/>
    <c:showDLblsOverMax val="0"/>
  </c:chart>
  <c:spPr>
    <a:solidFill>
      <a:srgbClr val="FFFF99"/>
    </a:solidFill>
  </c:spPr>
  <c:printSettings>
    <c:headerFooter/>
    <c:pageMargins b="0.7500000000000131" l="0.70000000000000062" r="0.70000000000000062" t="0.750000000000013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Revenue + Tax Benefits / (Liability) v. </a:t>
            </a:r>
          </a:p>
          <a:p>
            <a:pPr>
              <a:defRPr/>
            </a:pPr>
            <a:r>
              <a:rPr lang="en-US"/>
              <a:t>Expenses + Cash Obligations</a:t>
            </a:r>
          </a:p>
        </c:rich>
      </c:tx>
      <c:overlay val="1"/>
    </c:title>
    <c:autoTitleDeleted val="0"/>
    <c:plotArea>
      <c:layout/>
      <c:areaChart>
        <c:grouping val="standard"/>
        <c:varyColors val="0"/>
        <c:ser>
          <c:idx val="1"/>
          <c:order val="1"/>
          <c:tx>
            <c:strRef>
              <c:f>'Annual Cash Flows &amp; Returns'!$S$4</c:f>
              <c:strCache>
                <c:ptCount val="1"/>
                <c:pt idx="0">
                  <c:v>Expenses + Cash Obligations</c:v>
                </c:pt>
              </c:strCache>
            </c:strRef>
          </c:tx>
          <c:cat>
            <c:numRef>
              <c:f>'Annual Cash Flows &amp; Returns'!$B$6:$B$36</c:f>
              <c:numCache>
                <c:formatCode>General</c:formatCod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numCache>
            </c:numRef>
          </c:cat>
          <c:val>
            <c:numRef>
              <c:f>'Annual Cash Flows &amp; Returns'!$S$6:$S$36</c:f>
              <c:numCache>
                <c:formatCode>"$"#,##0_);[Red]\("$"#,##0\)</c:formatCode>
                <c:ptCount val="31"/>
                <c:pt idx="1">
                  <c:v>2585684.3258249443</c:v>
                </c:pt>
                <c:pt idx="2">
                  <c:v>2636131.4408861687</c:v>
                </c:pt>
                <c:pt idx="3">
                  <c:v>2688213.1717662187</c:v>
                </c:pt>
                <c:pt idx="4">
                  <c:v>2741987.7484760666</c:v>
                </c:pt>
                <c:pt idx="5">
                  <c:v>2703241.0052216216</c:v>
                </c:pt>
                <c:pt idx="6">
                  <c:v>2756736.9351587831</c:v>
                </c:pt>
                <c:pt idx="7">
                  <c:v>2811956.9339995547</c:v>
                </c:pt>
                <c:pt idx="8">
                  <c:v>2868962.1831344515</c:v>
                </c:pt>
                <c:pt idx="9">
                  <c:v>2927816.1773782256</c:v>
                </c:pt>
                <c:pt idx="10">
                  <c:v>2885996.3388259462</c:v>
                </c:pt>
                <c:pt idx="11">
                  <c:v>2944560.7340379278</c:v>
                </c:pt>
                <c:pt idx="12">
                  <c:v>3005008.2555652498</c:v>
                </c:pt>
                <c:pt idx="13">
                  <c:v>3067405.6205632426</c:v>
                </c:pt>
                <c:pt idx="14">
                  <c:v>1887154.1186961541</c:v>
                </c:pt>
                <c:pt idx="15">
                  <c:v>2256915.2841304662</c:v>
                </c:pt>
                <c:pt idx="16">
                  <c:v>2321031.6305383286</c:v>
                </c:pt>
                <c:pt idx="17">
                  <c:v>2387204.9177815006</c:v>
                </c:pt>
                <c:pt idx="18">
                  <c:v>2455507.9015708603</c:v>
                </c:pt>
                <c:pt idx="19">
                  <c:v>2526016.083216975</c:v>
                </c:pt>
                <c:pt idx="20">
                  <c:v>1413261.7539224569</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00-64DD-DA47-95D8-11031A8778CC}"/>
            </c:ext>
          </c:extLst>
        </c:ser>
        <c:dLbls>
          <c:showLegendKey val="0"/>
          <c:showVal val="0"/>
          <c:showCatName val="0"/>
          <c:showSerName val="0"/>
          <c:showPercent val="0"/>
          <c:showBubbleSize val="0"/>
        </c:dLbls>
        <c:axId val="107381888"/>
        <c:axId val="107383808"/>
      </c:areaChart>
      <c:lineChart>
        <c:grouping val="standard"/>
        <c:varyColors val="0"/>
        <c:ser>
          <c:idx val="0"/>
          <c:order val="0"/>
          <c:tx>
            <c:strRef>
              <c:f>'Annual Cash Flows &amp; Returns'!$R$4</c:f>
              <c:strCache>
                <c:ptCount val="1"/>
                <c:pt idx="0">
                  <c:v>Revenue + Tax Benefit/(Liability)</c:v>
                </c:pt>
              </c:strCache>
            </c:strRef>
          </c:tx>
          <c:marker>
            <c:symbol val="none"/>
          </c:marker>
          <c:cat>
            <c:numRef>
              <c:f>'Annual Cash Flows &amp; Returns'!$B$6:$B$36</c:f>
              <c:numCache>
                <c:formatCode>General</c:formatCod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numCache>
            </c:numRef>
          </c:cat>
          <c:val>
            <c:numRef>
              <c:f>'Annual Cash Flows &amp; Returns'!$R$6:$R$36</c:f>
              <c:numCache>
                <c:formatCode>"$"#,##0_);[Red]\("$"#,##0\)</c:formatCode>
                <c:ptCount val="31"/>
                <c:pt idx="1">
                  <c:v>8932959.6581530776</c:v>
                </c:pt>
                <c:pt idx="2">
                  <c:v>4742924.7690652404</c:v>
                </c:pt>
                <c:pt idx="3">
                  <c:v>4026218.604406741</c:v>
                </c:pt>
                <c:pt idx="4">
                  <c:v>3600052.1994910445</c:v>
                </c:pt>
                <c:pt idx="5">
                  <c:v>3571407.0536399181</c:v>
                </c:pt>
                <c:pt idx="6">
                  <c:v>3252612.5947613046</c:v>
                </c:pt>
                <c:pt idx="7">
                  <c:v>2933974.2402300788</c:v>
                </c:pt>
                <c:pt idx="8">
                  <c:v>2942195.9759461489</c:v>
                </c:pt>
                <c:pt idx="9">
                  <c:v>2950334.5381113105</c:v>
                </c:pt>
                <c:pt idx="10">
                  <c:v>2916594.5918649458</c:v>
                </c:pt>
                <c:pt idx="11">
                  <c:v>2922379.8734728759</c:v>
                </c:pt>
                <c:pt idx="12">
                  <c:v>2927651.9471630338</c:v>
                </c:pt>
                <c:pt idx="13">
                  <c:v>2932388.4840995087</c:v>
                </c:pt>
                <c:pt idx="14">
                  <c:v>2934634.0991502358</c:v>
                </c:pt>
                <c:pt idx="15">
                  <c:v>2914504.9070786345</c:v>
                </c:pt>
                <c:pt idx="16">
                  <c:v>2937807.7562861047</c:v>
                </c:pt>
                <c:pt idx="17">
                  <c:v>2961954.4408668261</c:v>
                </c:pt>
                <c:pt idx="18">
                  <c:v>2989633.6215121862</c:v>
                </c:pt>
                <c:pt idx="19">
                  <c:v>3018207.6656595534</c:v>
                </c:pt>
                <c:pt idx="20">
                  <c:v>2993729.5699388813</c:v>
                </c:pt>
                <c:pt idx="21">
                  <c:v>0</c:v>
                </c:pt>
                <c:pt idx="22">
                  <c:v>0</c:v>
                </c:pt>
                <c:pt idx="23">
                  <c:v>0</c:v>
                </c:pt>
                <c:pt idx="24">
                  <c:v>0</c:v>
                </c:pt>
                <c:pt idx="25">
                  <c:v>0</c:v>
                </c:pt>
                <c:pt idx="26">
                  <c:v>0</c:v>
                </c:pt>
                <c:pt idx="27">
                  <c:v>0</c:v>
                </c:pt>
                <c:pt idx="28">
                  <c:v>0</c:v>
                </c:pt>
                <c:pt idx="29">
                  <c:v>0</c:v>
                </c:pt>
                <c:pt idx="30">
                  <c:v>0</c:v>
                </c:pt>
              </c:numCache>
            </c:numRef>
          </c:val>
          <c:smooth val="0"/>
          <c:extLst>
            <c:ext xmlns:c16="http://schemas.microsoft.com/office/drawing/2014/chart" uri="{C3380CC4-5D6E-409C-BE32-E72D297353CC}">
              <c16:uniqueId val="{00000001-64DD-DA47-95D8-11031A8778CC}"/>
            </c:ext>
          </c:extLst>
        </c:ser>
        <c:dLbls>
          <c:showLegendKey val="0"/>
          <c:showVal val="0"/>
          <c:showCatName val="0"/>
          <c:showSerName val="0"/>
          <c:showPercent val="0"/>
          <c:showBubbleSize val="0"/>
        </c:dLbls>
        <c:marker val="1"/>
        <c:smooth val="0"/>
        <c:axId val="107381888"/>
        <c:axId val="107383808"/>
      </c:lineChart>
      <c:catAx>
        <c:axId val="107381888"/>
        <c:scaling>
          <c:orientation val="minMax"/>
        </c:scaling>
        <c:delete val="0"/>
        <c:axPos val="b"/>
        <c:title>
          <c:tx>
            <c:rich>
              <a:bodyPr/>
              <a:lstStyle/>
              <a:p>
                <a:pPr>
                  <a:defRPr sz="1100"/>
                </a:pPr>
                <a:r>
                  <a:rPr lang="en-US" sz="1100"/>
                  <a:t>Project Year</a:t>
                </a:r>
              </a:p>
            </c:rich>
          </c:tx>
          <c:overlay val="0"/>
        </c:title>
        <c:numFmt formatCode="General" sourceLinked="1"/>
        <c:majorTickMark val="out"/>
        <c:minorTickMark val="none"/>
        <c:tickLblPos val="nextTo"/>
        <c:crossAx val="107383808"/>
        <c:crosses val="autoZero"/>
        <c:auto val="1"/>
        <c:lblAlgn val="ctr"/>
        <c:lblOffset val="100"/>
        <c:tickLblSkip val="5"/>
        <c:noMultiLvlLbl val="0"/>
      </c:catAx>
      <c:valAx>
        <c:axId val="107383808"/>
        <c:scaling>
          <c:orientation val="minMax"/>
        </c:scaling>
        <c:delete val="0"/>
        <c:axPos val="l"/>
        <c:title>
          <c:tx>
            <c:rich>
              <a:bodyPr rot="-5400000" vert="horz"/>
              <a:lstStyle/>
              <a:p>
                <a:pPr>
                  <a:defRPr sz="1100" b="1"/>
                </a:pPr>
                <a:r>
                  <a:rPr lang="en-US" sz="1100" b="1"/>
                  <a:t>( $)</a:t>
                </a:r>
              </a:p>
            </c:rich>
          </c:tx>
          <c:overlay val="0"/>
        </c:title>
        <c:numFmt formatCode="&quot;$&quot;#,##0" sourceLinked="0"/>
        <c:majorTickMark val="out"/>
        <c:minorTickMark val="none"/>
        <c:tickLblPos val="nextTo"/>
        <c:crossAx val="107381888"/>
        <c:crosses val="autoZero"/>
        <c:crossBetween val="between"/>
      </c:valAx>
      <c:spPr>
        <a:solidFill>
          <a:srgbClr val="FFFF99"/>
        </a:solidFill>
      </c:spPr>
    </c:plotArea>
    <c:legend>
      <c:legendPos val="r"/>
      <c:overlay val="1"/>
    </c:legend>
    <c:plotVisOnly val="1"/>
    <c:dispBlanksAs val="gap"/>
    <c:showDLblsOverMax val="0"/>
  </c:chart>
  <c:spPr>
    <a:solidFill>
      <a:srgbClr val="FFFF99"/>
    </a:solidFill>
  </c:sp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83341</xdr:colOff>
      <xdr:row>37</xdr:row>
      <xdr:rowOff>130969</xdr:rowOff>
    </xdr:from>
    <xdr:to>
      <xdr:col>8</xdr:col>
      <xdr:colOff>452437</xdr:colOff>
      <xdr:row>61</xdr:row>
      <xdr:rowOff>35719</xdr:rowOff>
    </xdr:to>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535780</xdr:colOff>
      <xdr:row>37</xdr:row>
      <xdr:rowOff>154781</xdr:rowOff>
    </xdr:from>
    <xdr:to>
      <xdr:col>16</xdr:col>
      <xdr:colOff>23813</xdr:colOff>
      <xdr:row>61</xdr:row>
      <xdr:rowOff>71437</xdr:rowOff>
    </xdr:to>
    <xdr:graphicFrame macro="">
      <xdr:nvGraphicFramePr>
        <xdr:cNvPr id="4" name="Chart 3">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dsireusa.org/incentives/index.cfm?state=us&amp;re=1&amp;EE=1" TargetMode="External"/><Relationship Id="rId7" Type="http://schemas.openxmlformats.org/officeDocument/2006/relationships/vmlDrawing" Target="../drawings/vmlDrawing1.vml"/><Relationship Id="rId2" Type="http://schemas.openxmlformats.org/officeDocument/2006/relationships/hyperlink" Target="http://dsireusa.org/incentives/incentive.cfm?Incentive_Code=US02F&amp;re=1&amp;ee=1" TargetMode="External"/><Relationship Id="rId1" Type="http://schemas.openxmlformats.org/officeDocument/2006/relationships/hyperlink" Target="http://dsireusa.org/" TargetMode="External"/><Relationship Id="rId6" Type="http://schemas.openxmlformats.org/officeDocument/2006/relationships/printerSettings" Target="../printerSettings/printerSettings1.bin"/><Relationship Id="rId5" Type="http://schemas.openxmlformats.org/officeDocument/2006/relationships/hyperlink" Target="http://financere.nrel.gov/finance/content/crest-model" TargetMode="External"/><Relationship Id="rId4" Type="http://schemas.openxmlformats.org/officeDocument/2006/relationships/hyperlink" Target="http://financere.nrel.gov/finance/content/crest-model"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B1:R43"/>
  <sheetViews>
    <sheetView showGridLines="0" tabSelected="1" zoomScale="90" zoomScaleNormal="90" workbookViewId="0">
      <pane ySplit="4" topLeftCell="A5" activePane="bottomLeft" state="frozen"/>
      <selection pane="bottomLeft" activeCell="C5" sqref="C5"/>
    </sheetView>
  </sheetViews>
  <sheetFormatPr baseColWidth="10" defaultColWidth="9.1640625" defaultRowHeight="16"/>
  <cols>
    <col min="1" max="1" width="2.6640625" style="156" customWidth="1"/>
    <col min="2" max="2" width="26.6640625" style="156" customWidth="1"/>
    <col min="3" max="3" width="140.1640625" style="156" customWidth="1"/>
    <col min="4" max="4" width="16.83203125" style="156" customWidth="1"/>
    <col min="5" max="12" width="9.1640625" style="156"/>
    <col min="13" max="14" width="9.5" style="156" customWidth="1"/>
    <col min="15" max="15" width="5.33203125" style="156" customWidth="1"/>
    <col min="16" max="16384" width="9.1640625" style="156"/>
  </cols>
  <sheetData>
    <row r="1" spans="2:18" ht="9" customHeight="1" thickBot="1"/>
    <row r="2" spans="2:18" ht="30" customHeight="1">
      <c r="B2" s="224" t="s">
        <v>175</v>
      </c>
      <c r="C2" s="225" t="s">
        <v>324</v>
      </c>
      <c r="D2" s="226"/>
      <c r="E2" s="151"/>
      <c r="F2" s="151"/>
      <c r="G2" s="151"/>
      <c r="H2" s="151"/>
      <c r="I2" s="151"/>
      <c r="J2" s="151"/>
      <c r="K2" s="151"/>
      <c r="L2" s="151"/>
      <c r="M2" s="151"/>
      <c r="N2" s="151"/>
      <c r="P2" s="149"/>
      <c r="Q2" s="150"/>
      <c r="R2" s="150"/>
    </row>
    <row r="3" spans="2:18" ht="30" customHeight="1">
      <c r="B3" s="311" t="s">
        <v>193</v>
      </c>
      <c r="C3" s="312" t="s">
        <v>484</v>
      </c>
      <c r="D3" s="313"/>
      <c r="E3" s="151"/>
      <c r="F3" s="151"/>
      <c r="G3" s="151"/>
      <c r="H3" s="151"/>
      <c r="I3" s="151"/>
      <c r="J3" s="151"/>
      <c r="K3" s="151"/>
      <c r="L3" s="151"/>
      <c r="M3" s="151"/>
      <c r="N3" s="151"/>
      <c r="P3" s="149"/>
      <c r="Q3" s="150"/>
      <c r="R3" s="150"/>
    </row>
    <row r="4" spans="2:18" ht="60" customHeight="1" thickBot="1">
      <c r="B4" s="774" t="s">
        <v>483</v>
      </c>
      <c r="C4" s="775" t="s">
        <v>482</v>
      </c>
      <c r="D4" s="313"/>
      <c r="E4" s="151"/>
      <c r="F4" s="151"/>
      <c r="G4" s="151"/>
      <c r="H4" s="151"/>
      <c r="I4" s="151"/>
      <c r="J4" s="151"/>
      <c r="K4" s="151"/>
      <c r="L4" s="151"/>
      <c r="M4" s="151"/>
      <c r="N4" s="151"/>
      <c r="P4" s="149"/>
      <c r="Q4" s="150"/>
      <c r="R4" s="150"/>
    </row>
    <row r="5" spans="2:18" ht="30" customHeight="1">
      <c r="B5" s="685" t="s">
        <v>388</v>
      </c>
      <c r="C5" s="686" t="s">
        <v>389</v>
      </c>
      <c r="D5" s="228"/>
      <c r="E5" s="151"/>
      <c r="F5" s="151"/>
      <c r="G5" s="151"/>
      <c r="H5" s="151"/>
      <c r="I5" s="151"/>
      <c r="J5" s="151"/>
      <c r="K5" s="151"/>
      <c r="L5" s="151"/>
      <c r="M5" s="151"/>
      <c r="N5" s="151"/>
      <c r="P5" s="150"/>
      <c r="Q5" s="150"/>
      <c r="R5" s="150"/>
    </row>
    <row r="6" spans="2:18" ht="60" customHeight="1">
      <c r="B6" s="518" t="s">
        <v>390</v>
      </c>
      <c r="C6" s="232" t="s">
        <v>391</v>
      </c>
      <c r="D6" s="228"/>
      <c r="E6" s="151"/>
      <c r="F6" s="151"/>
      <c r="G6" s="151"/>
      <c r="H6" s="151"/>
      <c r="I6" s="151"/>
      <c r="J6" s="151"/>
      <c r="K6" s="151"/>
      <c r="L6" s="151"/>
      <c r="M6" s="151"/>
      <c r="N6" s="151"/>
      <c r="P6" s="150"/>
      <c r="Q6" s="150"/>
      <c r="R6" s="150"/>
    </row>
    <row r="7" spans="2:18" ht="60" customHeight="1">
      <c r="B7" s="518" t="s">
        <v>392</v>
      </c>
      <c r="C7" s="232" t="s">
        <v>393</v>
      </c>
      <c r="D7" s="228"/>
      <c r="E7" s="151"/>
      <c r="F7" s="151"/>
      <c r="G7" s="151"/>
      <c r="H7" s="151"/>
      <c r="I7" s="151"/>
      <c r="J7" s="151"/>
      <c r="K7" s="151"/>
      <c r="L7" s="151"/>
      <c r="M7" s="151"/>
      <c r="N7" s="151"/>
      <c r="P7" s="150"/>
      <c r="Q7" s="150"/>
      <c r="R7" s="150"/>
    </row>
    <row r="8" spans="2:18">
      <c r="B8" s="227"/>
      <c r="C8" s="229"/>
      <c r="D8" s="230"/>
      <c r="E8" s="152"/>
      <c r="F8" s="152"/>
      <c r="G8" s="152"/>
      <c r="H8" s="152"/>
      <c r="I8" s="152"/>
      <c r="J8" s="152"/>
      <c r="K8" s="152"/>
      <c r="L8" s="152"/>
      <c r="M8" s="152"/>
      <c r="N8" s="152"/>
      <c r="P8" s="150"/>
      <c r="Q8" s="150"/>
      <c r="R8" s="150"/>
    </row>
    <row r="9" spans="2:18" ht="102">
      <c r="B9" s="231" t="s">
        <v>176</v>
      </c>
      <c r="C9" s="232" t="s">
        <v>386</v>
      </c>
      <c r="D9" s="233"/>
      <c r="E9" s="153"/>
      <c r="F9" s="153"/>
      <c r="G9" s="153"/>
      <c r="H9" s="153"/>
      <c r="I9" s="153"/>
      <c r="J9" s="153"/>
      <c r="K9" s="153"/>
      <c r="L9" s="153"/>
      <c r="M9" s="153"/>
      <c r="N9" s="153"/>
      <c r="P9" s="149"/>
      <c r="Q9" s="150"/>
      <c r="R9" s="150"/>
    </row>
    <row r="10" spans="2:18" ht="17">
      <c r="B10" s="231"/>
      <c r="C10" s="683" t="s">
        <v>374</v>
      </c>
      <c r="D10" s="233"/>
      <c r="E10" s="153"/>
      <c r="F10" s="153"/>
      <c r="G10" s="153"/>
      <c r="H10" s="153"/>
      <c r="I10" s="153"/>
      <c r="J10" s="153"/>
      <c r="K10" s="153"/>
      <c r="L10" s="153"/>
      <c r="M10" s="153"/>
      <c r="N10" s="153"/>
      <c r="P10" s="149"/>
      <c r="Q10" s="150"/>
      <c r="R10" s="150"/>
    </row>
    <row r="11" spans="2:18">
      <c r="B11" s="231"/>
      <c r="C11" s="232"/>
      <c r="D11" s="233"/>
      <c r="E11" s="153"/>
      <c r="F11" s="153"/>
      <c r="G11" s="153"/>
      <c r="H11" s="153"/>
      <c r="I11" s="153"/>
      <c r="J11" s="153"/>
      <c r="K11" s="153"/>
      <c r="L11" s="153"/>
      <c r="M11" s="153"/>
      <c r="N11" s="153"/>
      <c r="P11" s="149"/>
      <c r="Q11" s="150"/>
      <c r="R11" s="150"/>
    </row>
    <row r="12" spans="2:18" ht="64.5" customHeight="1">
      <c r="B12" s="237" t="s">
        <v>338</v>
      </c>
      <c r="C12" s="232" t="s">
        <v>376</v>
      </c>
      <c r="D12" s="233"/>
      <c r="E12" s="153"/>
      <c r="F12" s="153"/>
      <c r="G12" s="153"/>
      <c r="H12" s="153"/>
      <c r="I12" s="153"/>
      <c r="J12" s="153"/>
      <c r="K12" s="153"/>
      <c r="L12" s="153"/>
      <c r="M12" s="153"/>
      <c r="N12" s="153"/>
      <c r="P12" s="149"/>
      <c r="Q12" s="150"/>
      <c r="R12" s="150"/>
    </row>
    <row r="13" spans="2:18" ht="17">
      <c r="B13" s="237"/>
      <c r="C13" s="683" t="s">
        <v>374</v>
      </c>
      <c r="D13" s="233"/>
      <c r="E13" s="153"/>
      <c r="F13" s="153"/>
      <c r="G13" s="153"/>
      <c r="H13" s="153"/>
      <c r="I13" s="153"/>
      <c r="J13" s="153"/>
      <c r="K13" s="153"/>
      <c r="L13" s="153"/>
      <c r="M13" s="153"/>
      <c r="N13" s="153"/>
      <c r="P13" s="149"/>
      <c r="Q13" s="150"/>
      <c r="R13" s="150"/>
    </row>
    <row r="14" spans="2:18" ht="17">
      <c r="B14" s="237"/>
      <c r="C14" s="232" t="s">
        <v>375</v>
      </c>
      <c r="D14" s="233"/>
      <c r="E14" s="153"/>
      <c r="F14" s="153"/>
      <c r="G14" s="153"/>
      <c r="H14" s="153"/>
      <c r="I14" s="153"/>
      <c r="J14" s="153"/>
      <c r="K14" s="153"/>
      <c r="L14" s="153"/>
      <c r="M14" s="153"/>
      <c r="N14" s="153"/>
      <c r="P14" s="149"/>
      <c r="Q14" s="150"/>
      <c r="R14" s="150"/>
    </row>
    <row r="15" spans="2:18">
      <c r="B15" s="234"/>
      <c r="C15" s="235"/>
      <c r="D15" s="236"/>
      <c r="E15" s="154"/>
      <c r="F15" s="154"/>
      <c r="G15" s="154"/>
      <c r="H15" s="154"/>
      <c r="I15" s="154"/>
      <c r="J15" s="154"/>
      <c r="K15" s="154"/>
      <c r="L15" s="154"/>
      <c r="M15" s="154"/>
      <c r="N15" s="154"/>
      <c r="P15" s="150"/>
      <c r="Q15" s="150"/>
      <c r="R15" s="150"/>
    </row>
    <row r="16" spans="2:18" ht="102">
      <c r="B16" s="237" t="s">
        <v>185</v>
      </c>
      <c r="C16" s="310" t="s">
        <v>362</v>
      </c>
      <c r="D16" s="239"/>
      <c r="E16" s="155"/>
      <c r="F16" s="155"/>
      <c r="G16" s="155"/>
      <c r="H16" s="155"/>
      <c r="I16" s="155"/>
      <c r="J16" s="155"/>
      <c r="K16" s="155"/>
      <c r="L16" s="155"/>
      <c r="M16" s="155"/>
      <c r="N16" s="155"/>
      <c r="P16" s="150"/>
      <c r="Q16" s="150"/>
      <c r="R16" s="150"/>
    </row>
    <row r="17" spans="2:18" ht="17">
      <c r="B17" s="237"/>
      <c r="C17" s="238"/>
      <c r="D17" s="519" t="s">
        <v>339</v>
      </c>
      <c r="E17" s="155"/>
      <c r="F17" s="155"/>
      <c r="G17" s="155"/>
      <c r="H17" s="155"/>
      <c r="I17" s="155"/>
      <c r="J17" s="155"/>
      <c r="K17" s="155"/>
      <c r="L17" s="155"/>
      <c r="M17" s="155"/>
      <c r="N17" s="155"/>
      <c r="P17" s="150"/>
      <c r="Q17" s="150"/>
      <c r="R17" s="150"/>
    </row>
    <row r="18" spans="2:18" ht="34">
      <c r="B18" s="237" t="s">
        <v>194</v>
      </c>
      <c r="C18" s="232" t="s">
        <v>310</v>
      </c>
      <c r="D18" s="668" t="s">
        <v>340</v>
      </c>
      <c r="E18" s="155"/>
      <c r="F18" s="155"/>
      <c r="G18" s="155"/>
      <c r="H18" s="155"/>
      <c r="I18" s="155"/>
      <c r="J18" s="155"/>
      <c r="K18" s="155"/>
      <c r="L18" s="155"/>
      <c r="M18" s="155"/>
      <c r="N18" s="155"/>
      <c r="P18" s="150"/>
      <c r="Q18" s="150"/>
      <c r="R18" s="150"/>
    </row>
    <row r="19" spans="2:18" ht="30" customHeight="1">
      <c r="B19" s="237"/>
      <c r="C19" s="314" t="s">
        <v>186</v>
      </c>
      <c r="D19" s="520" t="s">
        <v>341</v>
      </c>
      <c r="E19" s="154"/>
      <c r="F19" s="154"/>
      <c r="G19" s="154"/>
      <c r="H19" s="154"/>
      <c r="I19" s="154"/>
      <c r="J19" s="154"/>
      <c r="K19" s="154"/>
      <c r="L19" s="154"/>
      <c r="M19" s="154"/>
      <c r="N19" s="154"/>
      <c r="P19" s="150"/>
      <c r="Q19" s="150"/>
      <c r="R19" s="150"/>
    </row>
    <row r="20" spans="2:18" ht="30" customHeight="1">
      <c r="B20" s="237"/>
      <c r="C20" s="315" t="s">
        <v>195</v>
      </c>
      <c r="D20" s="521"/>
      <c r="E20" s="155"/>
      <c r="F20" s="155"/>
      <c r="G20" s="155"/>
      <c r="H20" s="155"/>
      <c r="I20" s="155"/>
      <c r="J20" s="155"/>
      <c r="K20" s="155"/>
      <c r="L20" s="155"/>
      <c r="M20" s="155"/>
      <c r="N20" s="155"/>
      <c r="P20" s="149"/>
      <c r="Q20" s="150"/>
      <c r="R20" s="150"/>
    </row>
    <row r="21" spans="2:18" ht="30" customHeight="1">
      <c r="B21" s="237"/>
      <c r="C21" s="315" t="s">
        <v>311</v>
      </c>
      <c r="D21" s="522"/>
      <c r="E21" s="157"/>
      <c r="F21" s="157"/>
      <c r="G21" s="157"/>
      <c r="H21" s="157"/>
      <c r="I21" s="157"/>
      <c r="J21" s="157"/>
      <c r="K21" s="157"/>
      <c r="L21" s="157"/>
      <c r="M21" s="157"/>
      <c r="N21" s="157"/>
      <c r="P21" s="150"/>
      <c r="Q21" s="150"/>
      <c r="R21" s="150"/>
    </row>
    <row r="22" spans="2:18" ht="30" customHeight="1">
      <c r="B22" s="237"/>
      <c r="C22" s="314" t="s">
        <v>312</v>
      </c>
      <c r="D22" s="523" t="s">
        <v>342</v>
      </c>
      <c r="E22" s="158"/>
      <c r="F22" s="158"/>
      <c r="G22" s="158"/>
      <c r="H22" s="158"/>
      <c r="I22" s="158"/>
      <c r="J22" s="158"/>
      <c r="K22" s="158"/>
      <c r="L22" s="158"/>
      <c r="M22" s="158"/>
      <c r="N22" s="158"/>
    </row>
    <row r="23" spans="2:18" ht="51">
      <c r="B23" s="237"/>
      <c r="C23" s="315" t="s">
        <v>313</v>
      </c>
      <c r="D23" s="524" t="s">
        <v>7</v>
      </c>
      <c r="E23" s="157"/>
      <c r="F23" s="157"/>
      <c r="G23" s="157"/>
      <c r="H23" s="157"/>
      <c r="I23" s="157"/>
      <c r="J23" s="157"/>
      <c r="K23" s="157"/>
      <c r="L23" s="157"/>
      <c r="M23" s="157"/>
      <c r="N23" s="157"/>
    </row>
    <row r="24" spans="2:18" ht="15" customHeight="1">
      <c r="B24" s="237"/>
      <c r="C24" s="240"/>
      <c r="D24" s="239"/>
      <c r="E24" s="157"/>
      <c r="F24" s="157"/>
      <c r="G24" s="157"/>
      <c r="H24" s="157"/>
      <c r="I24" s="157"/>
      <c r="J24" s="157"/>
      <c r="K24" s="157"/>
      <c r="L24" s="157"/>
      <c r="M24" s="157"/>
      <c r="N24" s="157"/>
    </row>
    <row r="25" spans="2:18" ht="153">
      <c r="B25" s="237" t="s">
        <v>260</v>
      </c>
      <c r="C25" s="238" t="s">
        <v>343</v>
      </c>
      <c r="D25" s="239"/>
      <c r="E25" s="155"/>
      <c r="F25" s="155"/>
      <c r="G25" s="155"/>
      <c r="H25" s="155"/>
      <c r="I25" s="155"/>
      <c r="J25" s="155"/>
      <c r="K25" s="155"/>
      <c r="L25" s="155"/>
      <c r="M25" s="155"/>
      <c r="N25" s="155"/>
    </row>
    <row r="26" spans="2:18">
      <c r="B26" s="237"/>
      <c r="C26" s="238"/>
      <c r="D26" s="239"/>
      <c r="E26" s="155"/>
      <c r="F26" s="155"/>
      <c r="G26" s="155"/>
      <c r="H26" s="155"/>
      <c r="I26" s="155"/>
      <c r="J26" s="155"/>
      <c r="K26" s="155"/>
      <c r="L26" s="155"/>
      <c r="M26" s="155"/>
      <c r="N26" s="155"/>
    </row>
    <row r="27" spans="2:18" ht="85">
      <c r="B27" s="237" t="s">
        <v>261</v>
      </c>
      <c r="C27" s="310" t="s">
        <v>314</v>
      </c>
      <c r="D27" s="241"/>
      <c r="E27" s="159"/>
      <c r="F27" s="159"/>
      <c r="G27" s="159"/>
      <c r="H27" s="159"/>
      <c r="I27" s="159"/>
      <c r="J27" s="159"/>
      <c r="K27" s="159"/>
      <c r="L27" s="159"/>
      <c r="M27" s="159"/>
      <c r="N27" s="159"/>
    </row>
    <row r="28" spans="2:18">
      <c r="B28" s="237"/>
      <c r="C28" s="310"/>
      <c r="D28" s="241"/>
      <c r="E28" s="159"/>
      <c r="F28" s="159"/>
      <c r="G28" s="159"/>
      <c r="H28" s="159"/>
      <c r="I28" s="159"/>
      <c r="J28" s="159"/>
      <c r="K28" s="159"/>
      <c r="L28" s="159"/>
      <c r="M28" s="159"/>
      <c r="N28" s="159"/>
    </row>
    <row r="29" spans="2:18" ht="34">
      <c r="B29" s="670" t="s">
        <v>366</v>
      </c>
      <c r="C29" s="315" t="s">
        <v>367</v>
      </c>
      <c r="D29" s="241"/>
      <c r="E29" s="159"/>
      <c r="F29" s="159"/>
      <c r="G29" s="159"/>
      <c r="H29" s="159"/>
      <c r="I29" s="159"/>
      <c r="J29" s="159"/>
      <c r="K29" s="159"/>
      <c r="L29" s="159"/>
      <c r="M29" s="159"/>
      <c r="N29" s="159"/>
    </row>
    <row r="30" spans="2:18">
      <c r="B30" s="234" t="s">
        <v>368</v>
      </c>
      <c r="C30" s="671" t="s">
        <v>363</v>
      </c>
      <c r="D30" s="241"/>
      <c r="E30" s="159"/>
      <c r="F30" s="159"/>
      <c r="G30" s="159"/>
      <c r="H30" s="159"/>
      <c r="I30" s="159"/>
      <c r="J30" s="159"/>
      <c r="K30" s="159"/>
      <c r="L30" s="159"/>
      <c r="M30" s="159"/>
      <c r="N30" s="159"/>
    </row>
    <row r="31" spans="2:18">
      <c r="B31" s="234" t="s">
        <v>369</v>
      </c>
      <c r="C31" s="671" t="s">
        <v>364</v>
      </c>
      <c r="D31" s="241"/>
      <c r="E31" s="159"/>
      <c r="F31" s="159"/>
      <c r="G31" s="159"/>
      <c r="H31" s="159"/>
      <c r="I31" s="159"/>
      <c r="J31" s="159"/>
      <c r="K31" s="159"/>
      <c r="L31" s="159"/>
      <c r="M31" s="159"/>
      <c r="N31" s="159"/>
    </row>
    <row r="32" spans="2:18">
      <c r="B32" s="234" t="s">
        <v>370</v>
      </c>
      <c r="C32" s="671" t="s">
        <v>365</v>
      </c>
      <c r="D32" s="241"/>
      <c r="E32" s="159"/>
      <c r="F32" s="159"/>
      <c r="G32" s="159"/>
      <c r="H32" s="159"/>
      <c r="I32" s="159"/>
      <c r="J32" s="159"/>
      <c r="K32" s="159"/>
      <c r="L32" s="159"/>
      <c r="M32" s="159"/>
      <c r="N32" s="159"/>
    </row>
    <row r="33" spans="2:14">
      <c r="B33" s="237"/>
      <c r="C33" s="310"/>
      <c r="D33" s="241"/>
      <c r="E33" s="159"/>
      <c r="F33" s="159"/>
      <c r="G33" s="159"/>
      <c r="H33" s="159"/>
      <c r="I33" s="159"/>
      <c r="J33" s="159"/>
      <c r="K33" s="159"/>
      <c r="L33" s="159"/>
      <c r="M33" s="159"/>
      <c r="N33" s="159"/>
    </row>
    <row r="34" spans="2:14" ht="68">
      <c r="B34" s="237" t="s">
        <v>420</v>
      </c>
      <c r="C34" s="238" t="s">
        <v>385</v>
      </c>
      <c r="D34" s="241"/>
      <c r="E34" s="159"/>
      <c r="F34" s="159"/>
      <c r="G34" s="159"/>
      <c r="H34" s="159"/>
      <c r="I34" s="159"/>
      <c r="J34" s="159"/>
      <c r="K34" s="159"/>
      <c r="L34" s="159"/>
      <c r="M34" s="159"/>
      <c r="N34" s="159"/>
    </row>
    <row r="35" spans="2:14" ht="17">
      <c r="B35" s="237"/>
      <c r="C35" s="684" t="s">
        <v>377</v>
      </c>
      <c r="D35" s="241"/>
      <c r="E35" s="159"/>
      <c r="F35" s="159"/>
      <c r="G35" s="159"/>
      <c r="H35" s="159"/>
      <c r="I35" s="159"/>
      <c r="J35" s="159"/>
      <c r="K35" s="159"/>
      <c r="L35" s="159"/>
      <c r="M35" s="159"/>
      <c r="N35" s="159"/>
    </row>
    <row r="36" spans="2:14" ht="17">
      <c r="B36" s="237"/>
      <c r="C36" s="684" t="s">
        <v>378</v>
      </c>
      <c r="D36" s="241"/>
      <c r="E36" s="159"/>
      <c r="F36" s="159"/>
      <c r="G36" s="159"/>
      <c r="H36" s="159"/>
      <c r="I36" s="159"/>
      <c r="J36" s="159"/>
      <c r="K36" s="159"/>
      <c r="L36" s="159"/>
      <c r="M36" s="159"/>
      <c r="N36" s="159"/>
    </row>
    <row r="37" spans="2:14" ht="17">
      <c r="B37" s="237"/>
      <c r="C37" s="684" t="s">
        <v>379</v>
      </c>
      <c r="D37" s="241"/>
      <c r="E37" s="159"/>
      <c r="F37" s="159"/>
      <c r="G37" s="159"/>
      <c r="H37" s="159"/>
      <c r="I37" s="159"/>
      <c r="J37" s="159"/>
      <c r="K37" s="159"/>
      <c r="L37" s="159"/>
      <c r="M37" s="159"/>
      <c r="N37" s="159"/>
    </row>
    <row r="38" spans="2:14" ht="17">
      <c r="B38" s="237"/>
      <c r="C38" s="684" t="s">
        <v>380</v>
      </c>
      <c r="D38" s="241"/>
      <c r="E38" s="159"/>
      <c r="F38" s="159"/>
      <c r="G38" s="159"/>
      <c r="H38" s="159"/>
      <c r="I38" s="159"/>
      <c r="J38" s="159"/>
      <c r="K38" s="159"/>
      <c r="L38" s="159"/>
      <c r="M38" s="159"/>
      <c r="N38" s="159"/>
    </row>
    <row r="39" spans="2:14" ht="17">
      <c r="B39" s="237"/>
      <c r="C39" s="684" t="s">
        <v>381</v>
      </c>
      <c r="D39" s="241"/>
      <c r="E39" s="159"/>
      <c r="F39" s="159"/>
      <c r="G39" s="159"/>
      <c r="H39" s="159"/>
      <c r="I39" s="159"/>
      <c r="J39" s="159"/>
      <c r="K39" s="159"/>
      <c r="L39" s="159"/>
      <c r="M39" s="159"/>
      <c r="N39" s="159"/>
    </row>
    <row r="40" spans="2:14" ht="17">
      <c r="B40" s="237"/>
      <c r="C40" s="684" t="s">
        <v>382</v>
      </c>
      <c r="D40" s="241"/>
      <c r="E40" s="159"/>
      <c r="F40" s="159"/>
      <c r="G40" s="159"/>
      <c r="H40" s="159"/>
      <c r="I40" s="159"/>
      <c r="J40" s="159"/>
      <c r="K40" s="159"/>
      <c r="L40" s="159"/>
      <c r="M40" s="159"/>
      <c r="N40" s="159"/>
    </row>
    <row r="41" spans="2:14" ht="17">
      <c r="B41" s="237"/>
      <c r="C41" s="684" t="s">
        <v>383</v>
      </c>
      <c r="D41" s="241"/>
      <c r="E41" s="159"/>
      <c r="F41" s="159"/>
      <c r="G41" s="159"/>
      <c r="H41" s="159"/>
      <c r="I41" s="159"/>
      <c r="J41" s="159"/>
      <c r="K41" s="159"/>
      <c r="L41" s="159"/>
      <c r="M41" s="159"/>
      <c r="N41" s="159"/>
    </row>
    <row r="42" spans="2:14" ht="17">
      <c r="B42" s="237"/>
      <c r="C42" s="684" t="s">
        <v>384</v>
      </c>
      <c r="D42" s="241"/>
      <c r="E42" s="159"/>
      <c r="F42" s="159"/>
      <c r="G42" s="159"/>
      <c r="H42" s="159"/>
      <c r="I42" s="159"/>
      <c r="J42" s="159"/>
      <c r="K42" s="159"/>
      <c r="L42" s="159"/>
      <c r="M42" s="159"/>
      <c r="N42" s="159"/>
    </row>
    <row r="43" spans="2:14" ht="17" thickBot="1">
      <c r="B43" s="242"/>
      <c r="C43" s="243"/>
      <c r="D43" s="244"/>
      <c r="E43" s="154"/>
      <c r="F43" s="154"/>
      <c r="G43" s="154"/>
      <c r="H43" s="154"/>
      <c r="I43" s="154"/>
      <c r="J43" s="154"/>
      <c r="K43" s="154"/>
      <c r="L43" s="154"/>
      <c r="M43" s="154"/>
      <c r="N43" s="154"/>
    </row>
  </sheetData>
  <sheetProtection password="EDDA" sheet="1" objects="1" scenarios="1"/>
  <hyperlinks>
    <hyperlink ref="C30" r:id="rId1" xr:uid="{00000000-0004-0000-0000-000000000000}"/>
    <hyperlink ref="C31" r:id="rId2" xr:uid="{00000000-0004-0000-0000-000001000000}"/>
    <hyperlink ref="C32" r:id="rId3" xr:uid="{00000000-0004-0000-0000-000002000000}"/>
    <hyperlink ref="C10" r:id="rId4" xr:uid="{00000000-0004-0000-0000-000003000000}"/>
    <hyperlink ref="C13" r:id="rId5" xr:uid="{00000000-0004-0000-0000-000004000000}"/>
  </hyperlinks>
  <pageMargins left="0.7" right="0.7" top="0.75" bottom="0.75" header="0.3" footer="0.3"/>
  <pageSetup scale="54" orientation="portrait" horizontalDpi="4294967293" verticalDpi="0" r:id="rId6"/>
  <legacyDrawing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C113"/>
  <sheetViews>
    <sheetView showGridLines="0" zoomScale="70" zoomScaleNormal="70" workbookViewId="0">
      <pane ySplit="4" topLeftCell="A5" activePane="bottomLeft" state="frozen"/>
      <selection pane="bottomLeft" activeCell="V73" sqref="V73"/>
    </sheetView>
  </sheetViews>
  <sheetFormatPr baseColWidth="10" defaultColWidth="9.1640625" defaultRowHeight="16"/>
  <cols>
    <col min="1" max="1" width="1.6640625" style="1" customWidth="1"/>
    <col min="2" max="2" width="1" style="1" customWidth="1"/>
    <col min="3" max="3" width="7.6640625" style="1" customWidth="1"/>
    <col min="4" max="4" width="1" style="1" customWidth="1"/>
    <col min="5" max="5" width="54" style="1" customWidth="1"/>
    <col min="6" max="6" width="18.5" style="1" customWidth="1"/>
    <col min="7" max="7" width="19.1640625" style="1" bestFit="1" customWidth="1"/>
    <col min="8" max="8" width="0.83203125" style="1" customWidth="1"/>
    <col min="9" max="9" width="6.6640625" style="1" customWidth="1"/>
    <col min="10" max="11" width="1.83203125" style="1" customWidth="1"/>
    <col min="12" max="12" width="1.1640625" style="1" customWidth="1"/>
    <col min="13" max="13" width="7.6640625" style="1" customWidth="1"/>
    <col min="14" max="14" width="1" style="1" customWidth="1"/>
    <col min="15" max="15" width="55.5" style="1" customWidth="1"/>
    <col min="16" max="16" width="19" style="1" customWidth="1"/>
    <col min="17" max="17" width="24.33203125" style="1" customWidth="1"/>
    <col min="18" max="18" width="0.83203125" style="1" customWidth="1"/>
    <col min="19" max="19" width="6.83203125" style="1" customWidth="1"/>
    <col min="20" max="20" width="11.1640625" style="1" customWidth="1"/>
    <col min="21" max="26" width="19.1640625" style="1" customWidth="1"/>
    <col min="27" max="27" width="0.83203125" style="1" customWidth="1"/>
    <col min="28" max="16384" width="9.1640625" style="1"/>
  </cols>
  <sheetData>
    <row r="1" spans="2:28" ht="7.5" customHeight="1" thickBot="1">
      <c r="B1" s="91"/>
    </row>
    <row r="2" spans="2:28" s="331" customFormat="1" ht="30" customHeight="1" thickBot="1">
      <c r="B2" s="500"/>
      <c r="C2" s="789" t="s">
        <v>236</v>
      </c>
      <c r="D2" s="789"/>
      <c r="E2" s="789"/>
      <c r="F2" s="789"/>
      <c r="G2" s="789"/>
      <c r="H2" s="789"/>
      <c r="I2" s="789"/>
      <c r="J2" s="789"/>
      <c r="K2" s="789"/>
      <c r="L2" s="790"/>
      <c r="M2" s="790"/>
      <c r="N2" s="790"/>
      <c r="O2" s="790"/>
      <c r="P2" s="790"/>
      <c r="Q2" s="790"/>
      <c r="R2" s="790"/>
      <c r="S2" s="790"/>
      <c r="T2" s="790"/>
      <c r="U2" s="411"/>
      <c r="V2" s="412"/>
      <c r="W2" s="412"/>
      <c r="X2" s="412"/>
      <c r="Y2" s="412"/>
      <c r="Z2" s="412"/>
      <c r="AA2" s="412"/>
      <c r="AB2" s="413"/>
    </row>
    <row r="3" spans="2:28" ht="7.5" customHeight="1">
      <c r="B3" s="11"/>
      <c r="C3" s="348"/>
      <c r="D3" s="348"/>
      <c r="E3" s="348"/>
      <c r="F3" s="348"/>
      <c r="G3" s="348"/>
      <c r="H3" s="348"/>
      <c r="I3" s="348"/>
      <c r="J3" s="348"/>
      <c r="K3" s="347"/>
      <c r="L3" s="347"/>
      <c r="M3" s="348"/>
      <c r="N3" s="348"/>
      <c r="O3" s="348"/>
      <c r="P3" s="348"/>
      <c r="Q3" s="348"/>
      <c r="R3" s="348"/>
      <c r="S3" s="348"/>
      <c r="T3" s="348"/>
      <c r="U3" s="348"/>
      <c r="V3" s="349"/>
      <c r="W3" s="349"/>
      <c r="X3" s="349"/>
      <c r="Y3" s="349"/>
      <c r="Z3" s="349"/>
      <c r="AA3" s="349"/>
      <c r="AB3" s="378"/>
    </row>
    <row r="4" spans="2:28" ht="19" thickBot="1">
      <c r="B4" s="11"/>
      <c r="C4" s="488" t="s">
        <v>18</v>
      </c>
      <c r="D4" s="16"/>
      <c r="F4" s="17"/>
      <c r="H4" s="477"/>
      <c r="I4" s="501" t="s">
        <v>17</v>
      </c>
      <c r="K4" s="379"/>
      <c r="L4" s="379"/>
      <c r="M4" s="488" t="s">
        <v>18</v>
      </c>
      <c r="N4" s="17"/>
      <c r="O4" s="800" t="s">
        <v>13</v>
      </c>
      <c r="P4" s="800"/>
      <c r="Q4" s="507"/>
      <c r="R4" s="17"/>
      <c r="S4" s="488" t="s">
        <v>17</v>
      </c>
      <c r="T4" s="478"/>
      <c r="U4" s="16"/>
      <c r="AB4" s="330"/>
    </row>
    <row r="5" spans="2:28" ht="19" thickBot="1">
      <c r="B5" s="502"/>
      <c r="C5" s="349"/>
      <c r="D5" s="349"/>
      <c r="E5" s="23"/>
      <c r="F5" s="18"/>
      <c r="G5" s="22"/>
      <c r="H5" s="503"/>
      <c r="I5" s="504"/>
      <c r="J5" s="505"/>
      <c r="K5" s="17"/>
      <c r="L5" s="502"/>
      <c r="M5" s="349"/>
      <c r="N5" s="349"/>
      <c r="O5" s="349"/>
      <c r="P5" s="349"/>
      <c r="Q5" s="349"/>
      <c r="R5" s="349"/>
      <c r="S5" s="349"/>
      <c r="T5" s="349"/>
      <c r="U5" s="349"/>
      <c r="V5" s="349"/>
      <c r="W5" s="349"/>
      <c r="X5" s="349"/>
      <c r="Y5" s="349"/>
      <c r="Z5" s="349"/>
      <c r="AA5" s="349"/>
      <c r="AB5" s="378"/>
    </row>
    <row r="6" spans="2:28" ht="17" thickBot="1">
      <c r="B6" s="11"/>
      <c r="E6" s="2" t="s">
        <v>14</v>
      </c>
      <c r="F6" s="430" t="s">
        <v>283</v>
      </c>
      <c r="G6" s="498" t="s">
        <v>318</v>
      </c>
      <c r="H6" s="78"/>
      <c r="I6" s="19"/>
      <c r="J6" s="489"/>
      <c r="K6" s="17"/>
      <c r="L6" s="11"/>
      <c r="O6" s="2" t="s">
        <v>465</v>
      </c>
      <c r="P6" s="430" t="s">
        <v>283</v>
      </c>
      <c r="Q6" s="498" t="s">
        <v>318</v>
      </c>
      <c r="AB6" s="330"/>
    </row>
    <row r="7" spans="2:28">
      <c r="B7" s="11"/>
      <c r="E7" s="765" t="s">
        <v>445</v>
      </c>
      <c r="F7" s="766" t="s">
        <v>446</v>
      </c>
      <c r="G7" s="767">
        <v>1</v>
      </c>
      <c r="H7" s="78"/>
      <c r="I7" s="13" t="s">
        <v>7</v>
      </c>
      <c r="J7" s="489"/>
      <c r="K7" s="17"/>
      <c r="L7" s="11"/>
      <c r="O7" s="763" t="s">
        <v>434</v>
      </c>
      <c r="P7" s="28" t="s">
        <v>1</v>
      </c>
      <c r="Q7" s="764">
        <v>0.85</v>
      </c>
      <c r="S7" s="13" t="s">
        <v>7</v>
      </c>
      <c r="AB7" s="330"/>
    </row>
    <row r="8" spans="2:28">
      <c r="B8" s="11"/>
      <c r="E8" s="566" t="s">
        <v>447</v>
      </c>
      <c r="F8" s="7" t="s">
        <v>322</v>
      </c>
      <c r="G8" s="745">
        <v>3650</v>
      </c>
      <c r="H8" s="78"/>
      <c r="I8" s="506" t="s">
        <v>7</v>
      </c>
      <c r="J8" s="489"/>
      <c r="K8" s="17"/>
      <c r="L8" s="11"/>
      <c r="O8" s="724" t="s">
        <v>435</v>
      </c>
      <c r="P8" s="21" t="s">
        <v>425</v>
      </c>
      <c r="Q8" s="725">
        <f>(G11-3412)*Q7</f>
        <v>3141.8833333333337</v>
      </c>
      <c r="S8" s="13" t="s">
        <v>7</v>
      </c>
      <c r="AB8" s="330"/>
    </row>
    <row r="9" spans="2:28">
      <c r="B9" s="11"/>
      <c r="C9" s="401"/>
      <c r="E9" s="566" t="s">
        <v>448</v>
      </c>
      <c r="F9" s="6" t="s">
        <v>322</v>
      </c>
      <c r="G9" s="746">
        <f>G7*G8</f>
        <v>3650</v>
      </c>
      <c r="H9" s="351"/>
      <c r="I9" s="13" t="s">
        <v>7</v>
      </c>
      <c r="J9" s="490"/>
      <c r="K9" s="17"/>
      <c r="L9" s="11"/>
      <c r="O9" s="724" t="s">
        <v>442</v>
      </c>
      <c r="P9" s="21" t="s">
        <v>438</v>
      </c>
      <c r="Q9" s="741">
        <v>0</v>
      </c>
      <c r="S9" s="13" t="s">
        <v>7</v>
      </c>
      <c r="AB9" s="330"/>
    </row>
    <row r="10" spans="2:28">
      <c r="B10" s="11"/>
      <c r="E10" s="724" t="s">
        <v>469</v>
      </c>
      <c r="F10" s="21" t="s">
        <v>1</v>
      </c>
      <c r="G10" s="736">
        <v>0.48</v>
      </c>
      <c r="I10" s="13" t="s">
        <v>7</v>
      </c>
      <c r="J10" s="330"/>
      <c r="K10" s="17"/>
      <c r="L10" s="11"/>
      <c r="O10" s="724" t="s">
        <v>437</v>
      </c>
      <c r="P10" s="21" t="s">
        <v>1</v>
      </c>
      <c r="Q10" s="742">
        <v>0.02</v>
      </c>
      <c r="S10" s="13" t="s">
        <v>7</v>
      </c>
      <c r="AB10" s="330"/>
    </row>
    <row r="11" spans="2:28" ht="17" thickBot="1">
      <c r="B11" s="11"/>
      <c r="E11" s="724" t="s">
        <v>470</v>
      </c>
      <c r="F11" s="21" t="s">
        <v>425</v>
      </c>
      <c r="G11" s="725">
        <f>(3412/G10)</f>
        <v>7108.3333333333339</v>
      </c>
      <c r="I11" s="13" t="s">
        <v>7</v>
      </c>
      <c r="J11" s="330"/>
      <c r="K11" s="17"/>
      <c r="L11" s="11"/>
      <c r="AB11" s="330"/>
    </row>
    <row r="12" spans="2:28" ht="17" thickBot="1">
      <c r="B12" s="11"/>
      <c r="C12" s="401"/>
      <c r="E12" s="724" t="s">
        <v>426</v>
      </c>
      <c r="F12" s="21" t="s">
        <v>421</v>
      </c>
      <c r="G12" s="735">
        <v>1000</v>
      </c>
      <c r="I12" s="13" t="s">
        <v>7</v>
      </c>
      <c r="J12" s="330"/>
      <c r="K12" s="17"/>
      <c r="L12" s="11"/>
      <c r="O12" s="2" t="s">
        <v>372</v>
      </c>
      <c r="P12" s="430" t="s">
        <v>283</v>
      </c>
      <c r="Q12" s="498" t="s">
        <v>318</v>
      </c>
      <c r="U12" s="17"/>
      <c r="AB12" s="330"/>
    </row>
    <row r="13" spans="2:28">
      <c r="B13" s="11"/>
      <c r="E13" s="724" t="s">
        <v>464</v>
      </c>
      <c r="F13" s="21" t="s">
        <v>422</v>
      </c>
      <c r="G13" s="725">
        <f>'Cash Flow'!G8</f>
        <v>227281850</v>
      </c>
      <c r="I13" s="13" t="s">
        <v>7</v>
      </c>
      <c r="J13" s="330"/>
      <c r="K13" s="17"/>
      <c r="L13" s="11"/>
      <c r="M13" s="456"/>
      <c r="N13" s="1">
        <f>IF(OR(Q13&lt;=0,Q13&gt;G19),1,0)</f>
        <v>0</v>
      </c>
      <c r="O13" s="553" t="s">
        <v>396</v>
      </c>
      <c r="P13" s="547" t="s">
        <v>3</v>
      </c>
      <c r="Q13" s="573">
        <v>20</v>
      </c>
      <c r="R13" s="353"/>
      <c r="S13" s="13" t="s">
        <v>7</v>
      </c>
      <c r="T13" s="425"/>
      <c r="U13" s="251"/>
      <c r="V13" s="251"/>
      <c r="W13" s="251"/>
      <c r="X13" s="251"/>
      <c r="Y13" s="251"/>
      <c r="Z13" s="251"/>
      <c r="AB13" s="330"/>
    </row>
    <row r="14" spans="2:28">
      <c r="B14" s="11"/>
      <c r="E14" s="724" t="s">
        <v>428</v>
      </c>
      <c r="F14" s="21" t="s">
        <v>1</v>
      </c>
      <c r="G14" s="736">
        <v>0.9</v>
      </c>
      <c r="I14" s="13" t="s">
        <v>7</v>
      </c>
      <c r="J14" s="330"/>
      <c r="K14" s="17"/>
      <c r="L14" s="11"/>
      <c r="M14" s="401"/>
      <c r="O14" s="559" t="s">
        <v>197</v>
      </c>
      <c r="P14" s="7" t="s">
        <v>1</v>
      </c>
      <c r="Q14" s="571">
        <v>0</v>
      </c>
      <c r="R14" s="352"/>
      <c r="S14" s="13" t="s">
        <v>7</v>
      </c>
      <c r="T14" s="425"/>
      <c r="U14" s="246"/>
      <c r="V14" s="246"/>
      <c r="W14" s="246"/>
      <c r="X14" s="246"/>
      <c r="Y14" s="246"/>
      <c r="Z14" s="246"/>
      <c r="AB14" s="330"/>
    </row>
    <row r="15" spans="2:28" ht="17" thickBot="1">
      <c r="B15" s="11"/>
      <c r="E15" s="724" t="s">
        <v>429</v>
      </c>
      <c r="F15" s="21" t="s">
        <v>1</v>
      </c>
      <c r="G15" s="736">
        <v>0.1</v>
      </c>
      <c r="I15" s="13" t="s">
        <v>7</v>
      </c>
      <c r="J15" s="330"/>
      <c r="K15" s="17"/>
      <c r="L15" s="11"/>
      <c r="M15" s="400"/>
      <c r="O15" s="556" t="s">
        <v>373</v>
      </c>
      <c r="P15" s="562" t="s">
        <v>1</v>
      </c>
      <c r="Q15" s="602">
        <v>0</v>
      </c>
      <c r="R15" s="352"/>
      <c r="S15" s="13" t="s">
        <v>7</v>
      </c>
      <c r="T15" s="425"/>
      <c r="Y15" s="223"/>
      <c r="Z15" s="223"/>
      <c r="AB15" s="330"/>
    </row>
    <row r="16" spans="2:28" ht="17" thickBot="1">
      <c r="B16" s="11"/>
      <c r="E16" s="724" t="s">
        <v>468</v>
      </c>
      <c r="F16" s="21" t="s">
        <v>2</v>
      </c>
      <c r="G16" s="725">
        <f>'Cash Flow'!$G$10</f>
        <v>25898940</v>
      </c>
      <c r="I16" s="506" t="s">
        <v>7</v>
      </c>
      <c r="J16" s="330"/>
      <c r="K16" s="17"/>
      <c r="L16" s="379"/>
      <c r="M16" s="17"/>
      <c r="N16" s="17"/>
      <c r="O16" s="17"/>
      <c r="P16" s="17"/>
      <c r="Q16" s="17"/>
      <c r="R16" s="17"/>
      <c r="S16" s="17"/>
      <c r="T16" s="17"/>
      <c r="Y16" s="223"/>
      <c r="Z16" s="223"/>
      <c r="AB16" s="330"/>
    </row>
    <row r="17" spans="2:28" ht="17" thickBot="1">
      <c r="B17" s="11"/>
      <c r="C17" s="455"/>
      <c r="D17" s="1">
        <f>IF(OR(G17&lt;0,G17&gt;1),1,0)</f>
        <v>0</v>
      </c>
      <c r="E17" s="586" t="s">
        <v>452</v>
      </c>
      <c r="F17" s="6" t="s">
        <v>1</v>
      </c>
      <c r="G17" s="599">
        <v>0.02</v>
      </c>
      <c r="H17" s="352"/>
      <c r="I17" s="506" t="s">
        <v>7</v>
      </c>
      <c r="J17" s="490"/>
      <c r="K17" s="17"/>
      <c r="L17" s="379"/>
      <c r="O17" s="2" t="s">
        <v>387</v>
      </c>
      <c r="P17" s="3"/>
      <c r="Q17" s="4"/>
      <c r="R17" s="17"/>
      <c r="S17" s="13" t="s">
        <v>7</v>
      </c>
      <c r="T17" s="223"/>
      <c r="Y17" s="223"/>
      <c r="Z17" s="223"/>
      <c r="AB17" s="330"/>
    </row>
    <row r="18" spans="2:28">
      <c r="B18" s="11"/>
      <c r="C18" s="455"/>
      <c r="E18" s="747" t="s">
        <v>453</v>
      </c>
      <c r="F18" s="661" t="s">
        <v>454</v>
      </c>
      <c r="G18" s="745">
        <v>40000</v>
      </c>
      <c r="H18" s="352"/>
      <c r="I18" s="506" t="s">
        <v>7</v>
      </c>
      <c r="J18" s="490"/>
      <c r="K18" s="17"/>
      <c r="L18" s="379"/>
      <c r="M18" s="455"/>
      <c r="O18" s="603" t="s">
        <v>247</v>
      </c>
      <c r="P18" s="604"/>
      <c r="Q18" s="605" t="s">
        <v>304</v>
      </c>
      <c r="S18" s="428" t="s">
        <v>7</v>
      </c>
      <c r="T18" s="429">
        <f>IF(Q13&lt;G19,1,0)</f>
        <v>0</v>
      </c>
      <c r="U18" s="223"/>
      <c r="V18" s="223"/>
      <c r="W18" s="223"/>
      <c r="X18" s="223"/>
      <c r="Y18" s="223"/>
      <c r="Z18" s="223"/>
      <c r="AB18" s="330"/>
    </row>
    <row r="19" spans="2:28" ht="17" thickBot="1">
      <c r="B19" s="11"/>
      <c r="C19" s="456"/>
      <c r="D19" s="1">
        <f>IF(OR(G19&lt;1,G19&gt;30),1,0)</f>
        <v>0</v>
      </c>
      <c r="E19" s="569" t="s">
        <v>208</v>
      </c>
      <c r="F19" s="562" t="s">
        <v>3</v>
      </c>
      <c r="G19" s="572">
        <v>20</v>
      </c>
      <c r="H19" s="353"/>
      <c r="I19" s="13" t="s">
        <v>7</v>
      </c>
      <c r="J19" s="490"/>
      <c r="K19" s="17"/>
      <c r="L19" s="379"/>
      <c r="M19" s="455"/>
      <c r="N19" s="1">
        <f>IF(OR(Q19&lt;=0,Q19=""),1,0)</f>
        <v>0</v>
      </c>
      <c r="O19" s="606" t="s">
        <v>209</v>
      </c>
      <c r="P19" s="426" t="s">
        <v>52</v>
      </c>
      <c r="Q19" s="607">
        <v>5</v>
      </c>
      <c r="S19" s="428" t="s">
        <v>7</v>
      </c>
      <c r="T19" s="429">
        <f>IF(AND($Q$13&lt;$G$19,$Q$18="Year One"),1,0)</f>
        <v>0</v>
      </c>
      <c r="U19" s="223"/>
      <c r="V19" s="223"/>
      <c r="W19" s="223"/>
      <c r="X19" s="223"/>
      <c r="Y19" s="223"/>
      <c r="Z19" s="223"/>
      <c r="AB19" s="330"/>
    </row>
    <row r="20" spans="2:28" ht="17" thickBot="1">
      <c r="B20" s="11"/>
      <c r="G20" s="19"/>
      <c r="H20" s="19"/>
      <c r="I20" s="15"/>
      <c r="J20" s="490"/>
      <c r="K20" s="17"/>
      <c r="L20" s="379"/>
      <c r="M20" s="455"/>
      <c r="N20" s="1">
        <f>IF(OR(Q20&lt;=0,Q20=""),1,0)</f>
        <v>0</v>
      </c>
      <c r="O20" s="608" t="s">
        <v>210</v>
      </c>
      <c r="P20" s="427" t="s">
        <v>1</v>
      </c>
      <c r="Q20" s="609">
        <v>0.03</v>
      </c>
      <c r="S20" s="454" t="s">
        <v>7</v>
      </c>
      <c r="T20" s="429">
        <f>IF(AND($Q$13&lt;$G$19,$Q$18="Year One"),1,0)</f>
        <v>0</v>
      </c>
      <c r="U20" s="223"/>
      <c r="V20" s="223"/>
      <c r="W20" s="223"/>
      <c r="X20" s="223"/>
      <c r="AB20" s="330"/>
    </row>
    <row r="21" spans="2:28" ht="17" thickBot="1">
      <c r="B21" s="11"/>
      <c r="E21" s="9" t="s">
        <v>158</v>
      </c>
      <c r="F21" s="430" t="s">
        <v>283</v>
      </c>
      <c r="G21" s="498" t="s">
        <v>318</v>
      </c>
      <c r="H21" s="364"/>
      <c r="I21" s="15"/>
      <c r="J21" s="490"/>
      <c r="K21" s="17"/>
      <c r="L21" s="379"/>
      <c r="O21" s="610" t="str">
        <f>IF(OR($Q$18="Year One",$Q$13=$G$19),"","Click Here for Complex Input Worksheet")</f>
        <v/>
      </c>
      <c r="P21" s="611"/>
      <c r="Q21" s="612"/>
      <c r="S21" s="450" t="s">
        <v>7</v>
      </c>
      <c r="T21" s="429">
        <f>IF(AND($Q$13&lt;$G$19,$Q$18="Year-by-Year"),1,0)</f>
        <v>0</v>
      </c>
      <c r="U21" s="17"/>
      <c r="AB21" s="779"/>
    </row>
    <row r="22" spans="2:28" ht="17" thickBot="1">
      <c r="B22" s="11"/>
      <c r="C22" s="402"/>
      <c r="E22" s="533" t="s">
        <v>8</v>
      </c>
      <c r="F22" s="534"/>
      <c r="G22" s="535" t="s">
        <v>479</v>
      </c>
      <c r="H22" s="362"/>
      <c r="I22" s="13" t="s">
        <v>7</v>
      </c>
      <c r="J22" s="490"/>
      <c r="K22" s="17"/>
      <c r="L22" s="379"/>
      <c r="T22" s="247"/>
      <c r="U22" s="17"/>
      <c r="AA22" s="17"/>
      <c r="AB22" s="779"/>
    </row>
    <row r="23" spans="2:28" ht="17" thickBot="1">
      <c r="B23" s="11"/>
      <c r="C23" s="403"/>
      <c r="E23" s="536" t="s">
        <v>134</v>
      </c>
      <c r="F23" s="537" t="s">
        <v>323</v>
      </c>
      <c r="G23" s="538">
        <v>4750</v>
      </c>
      <c r="H23" s="354"/>
      <c r="I23" s="450" t="s">
        <v>7</v>
      </c>
      <c r="J23" s="491"/>
      <c r="K23" s="17"/>
      <c r="L23" s="379"/>
      <c r="O23" s="5" t="s">
        <v>24</v>
      </c>
      <c r="P23" s="430" t="s">
        <v>283</v>
      </c>
      <c r="Q23" s="498" t="s">
        <v>318</v>
      </c>
      <c r="R23" s="147"/>
      <c r="S23" s="15"/>
      <c r="T23" s="247"/>
      <c r="U23" s="17"/>
      <c r="AA23" s="17"/>
      <c r="AB23" s="779"/>
    </row>
    <row r="24" spans="2:28">
      <c r="B24" s="11"/>
      <c r="C24" s="404"/>
      <c r="E24" s="539" t="s">
        <v>159</v>
      </c>
      <c r="F24" s="426" t="s">
        <v>0</v>
      </c>
      <c r="G24" s="540">
        <v>12000000</v>
      </c>
      <c r="H24" s="355"/>
      <c r="I24" s="450" t="s">
        <v>7</v>
      </c>
      <c r="J24" s="490"/>
      <c r="K24" s="17"/>
      <c r="L24" s="379"/>
      <c r="M24" s="459"/>
      <c r="O24" s="676" t="s">
        <v>416</v>
      </c>
      <c r="P24" s="677"/>
      <c r="Q24" s="678" t="s">
        <v>477</v>
      </c>
      <c r="R24" s="429">
        <f>IF(OR($Q$24="Cost-Based",$Q$24="Neither"),1,0)</f>
        <v>1</v>
      </c>
      <c r="S24" s="13" t="s">
        <v>7</v>
      </c>
      <c r="T24" s="452">
        <f>IF(OR($Q$24="Performance-Based",$Q$24="Neither"),1,0)</f>
        <v>0</v>
      </c>
      <c r="U24" s="17"/>
      <c r="AA24" s="17"/>
      <c r="AB24" s="779"/>
    </row>
    <row r="25" spans="2:28">
      <c r="B25" s="11"/>
      <c r="C25" s="461"/>
      <c r="E25" s="539" t="s">
        <v>161</v>
      </c>
      <c r="F25" s="426" t="s">
        <v>0</v>
      </c>
      <c r="G25" s="540">
        <v>4000000</v>
      </c>
      <c r="H25" s="355"/>
      <c r="I25" s="450" t="s">
        <v>7</v>
      </c>
      <c r="J25" s="490"/>
      <c r="K25" s="17"/>
      <c r="L25" s="379"/>
      <c r="M25" s="459"/>
      <c r="O25" s="549" t="s">
        <v>295</v>
      </c>
      <c r="P25" s="7"/>
      <c r="Q25" s="713" t="s">
        <v>471</v>
      </c>
      <c r="R25" s="17"/>
      <c r="S25" s="13" t="s">
        <v>7</v>
      </c>
      <c r="T25" s="17"/>
      <c r="AB25" s="330"/>
    </row>
    <row r="26" spans="2:28">
      <c r="B26" s="11"/>
      <c r="C26" s="461"/>
      <c r="E26" s="541" t="s">
        <v>162</v>
      </c>
      <c r="F26" s="426" t="s">
        <v>0</v>
      </c>
      <c r="G26" s="540">
        <v>300000</v>
      </c>
      <c r="H26" s="355"/>
      <c r="I26" s="450" t="s">
        <v>7</v>
      </c>
      <c r="J26" s="490"/>
      <c r="K26" s="17"/>
      <c r="L26" s="379"/>
      <c r="M26" s="459"/>
      <c r="N26" s="1">
        <f>IF(OR(Q26&lt;0,Q26&gt;1,Q26=""),1,0)</f>
        <v>0</v>
      </c>
      <c r="O26" s="566" t="s">
        <v>218</v>
      </c>
      <c r="P26" s="6" t="s">
        <v>1</v>
      </c>
      <c r="Q26" s="613">
        <v>0.3</v>
      </c>
      <c r="R26" s="17"/>
      <c r="S26" s="13" t="s">
        <v>7</v>
      </c>
      <c r="T26" s="768"/>
      <c r="AB26" s="330"/>
    </row>
    <row r="27" spans="2:28">
      <c r="B27" s="11"/>
      <c r="C27" s="461"/>
      <c r="E27" s="541" t="s">
        <v>163</v>
      </c>
      <c r="F27" s="426" t="s">
        <v>0</v>
      </c>
      <c r="G27" s="540">
        <v>200000</v>
      </c>
      <c r="H27" s="355"/>
      <c r="I27" s="450" t="s">
        <v>7</v>
      </c>
      <c r="J27" s="490"/>
      <c r="K27" s="17"/>
      <c r="L27" s="11"/>
      <c r="N27" s="776">
        <f>IF(OR(Q27&lt;0,Q27&gt;1,Q27=""),1,0)</f>
        <v>0</v>
      </c>
      <c r="O27" s="566" t="s">
        <v>16</v>
      </c>
      <c r="P27" s="6" t="s">
        <v>1</v>
      </c>
      <c r="Q27" s="613">
        <v>1</v>
      </c>
      <c r="AB27" s="330"/>
    </row>
    <row r="28" spans="2:28" ht="17" thickBot="1">
      <c r="B28" s="11"/>
      <c r="C28" s="405"/>
      <c r="E28" s="541" t="s">
        <v>95</v>
      </c>
      <c r="F28" s="426" t="s">
        <v>0</v>
      </c>
      <c r="G28" s="542">
        <f>($G$60*$G$57*SUM($G$24:$G$27)+$G$54+$G$70+$Q$73+$Q$76)</f>
        <v>1676954.9482940962</v>
      </c>
      <c r="H28" s="356"/>
      <c r="I28" s="450" t="s">
        <v>7</v>
      </c>
      <c r="J28" s="490"/>
      <c r="K28" s="17"/>
      <c r="L28" s="379"/>
      <c r="O28" s="616" t="s">
        <v>132</v>
      </c>
      <c r="P28" s="7" t="s">
        <v>0</v>
      </c>
      <c r="Q28" s="778">
        <f>IF($G$79="Yes",IF($Q$25="ITC",'Cash Flow'!$C$109*Inputs!$Q$26*Inputs!$Q$27,IF($Q$25="Cash Grant",'Cash Flow'!$C$109*Inputs!$Q$26,0)),0)</f>
        <v>4889175</v>
      </c>
      <c r="R28" s="148"/>
      <c r="S28" s="13" t="s">
        <v>7</v>
      </c>
      <c r="AB28" s="330"/>
    </row>
    <row r="29" spans="2:28" ht="17" thickBot="1">
      <c r="B29" s="11"/>
      <c r="C29" s="405"/>
      <c r="E29" s="543" t="s">
        <v>299</v>
      </c>
      <c r="F29" s="544" t="str">
        <f>IF($G$22="Complex","$","")</f>
        <v/>
      </c>
      <c r="G29" s="545" t="str">
        <f>IF($G$22="Complex",'Complex Inputs'!$C$121,"")</f>
        <v/>
      </c>
      <c r="H29" s="357"/>
      <c r="I29" s="450" t="s">
        <v>7</v>
      </c>
      <c r="J29" s="490"/>
      <c r="K29" s="17"/>
      <c r="L29" s="379"/>
      <c r="M29" s="459"/>
      <c r="O29" s="564" t="s">
        <v>297</v>
      </c>
      <c r="P29" s="763"/>
      <c r="Q29" s="679" t="s">
        <v>433</v>
      </c>
      <c r="S29" s="13" t="s">
        <v>7</v>
      </c>
      <c r="AB29" s="330"/>
    </row>
    <row r="30" spans="2:28">
      <c r="B30" s="11"/>
      <c r="C30" s="406"/>
      <c r="E30" s="546" t="s">
        <v>394</v>
      </c>
      <c r="F30" s="547" t="s">
        <v>0</v>
      </c>
      <c r="G30" s="548">
        <f>IF($G$22="Simple",($G$23*$G$9),IF($G$22="Intermediate",SUM($G$24:$G$28),IF($G$22="Complex",$G$29,0)))</f>
        <v>17337500</v>
      </c>
      <c r="H30" s="357"/>
      <c r="I30" s="13" t="s">
        <v>7</v>
      </c>
      <c r="J30" s="490"/>
      <c r="K30" s="17"/>
      <c r="L30" s="379"/>
      <c r="M30" s="455"/>
      <c r="O30" s="559" t="s">
        <v>136</v>
      </c>
      <c r="P30" s="257" t="s">
        <v>52</v>
      </c>
      <c r="Q30" s="615">
        <v>1.1499999999999999</v>
      </c>
      <c r="R30" s="17"/>
      <c r="S30" s="13" t="s">
        <v>7</v>
      </c>
      <c r="AB30" s="330"/>
    </row>
    <row r="31" spans="2:28" ht="17" thickBot="1">
      <c r="B31" s="11"/>
      <c r="C31" s="406"/>
      <c r="E31" s="689" t="s">
        <v>394</v>
      </c>
      <c r="F31" s="551" t="str">
        <f>F23</f>
        <v>$/kW</v>
      </c>
      <c r="G31" s="552">
        <f>G30/G9</f>
        <v>4750</v>
      </c>
      <c r="H31" s="365"/>
      <c r="I31" s="13" t="s">
        <v>7</v>
      </c>
      <c r="J31" s="490"/>
      <c r="K31" s="17"/>
      <c r="L31" s="11"/>
      <c r="N31" s="1">
        <f>IF(OR(Q31&lt;0,Q31&gt;1),1,0)</f>
        <v>0</v>
      </c>
      <c r="O31" s="559" t="s">
        <v>344</v>
      </c>
      <c r="P31" s="6" t="s">
        <v>1</v>
      </c>
      <c r="Q31" s="599">
        <v>1</v>
      </c>
      <c r="T31" s="17"/>
      <c r="AB31" s="330"/>
    </row>
    <row r="32" spans="2:28" ht="17" thickBot="1">
      <c r="B32" s="11"/>
      <c r="C32" s="407"/>
      <c r="E32" s="20"/>
      <c r="F32" s="12"/>
      <c r="G32" s="12"/>
      <c r="I32" s="19"/>
      <c r="J32" s="490"/>
      <c r="K32" s="17"/>
      <c r="L32" s="379"/>
      <c r="M32" s="455"/>
      <c r="N32" s="1">
        <f>IF(OR(Q32&lt;0,Q32&gt;G19),1,0)</f>
        <v>0</v>
      </c>
      <c r="O32" s="559" t="s">
        <v>32</v>
      </c>
      <c r="P32" s="21" t="s">
        <v>31</v>
      </c>
      <c r="Q32" s="560">
        <v>10</v>
      </c>
      <c r="R32" s="17"/>
      <c r="S32" s="13" t="s">
        <v>7</v>
      </c>
      <c r="AB32" s="330"/>
    </row>
    <row r="33" spans="2:28" ht="17" thickBot="1">
      <c r="B33" s="11"/>
      <c r="E33" s="5" t="s">
        <v>9</v>
      </c>
      <c r="F33" s="430" t="s">
        <v>283</v>
      </c>
      <c r="G33" s="498" t="s">
        <v>318</v>
      </c>
      <c r="H33" s="366"/>
      <c r="I33" s="19"/>
      <c r="J33" s="490"/>
      <c r="K33" s="17"/>
      <c r="L33" s="379"/>
      <c r="M33" s="455"/>
      <c r="O33" s="559" t="s">
        <v>141</v>
      </c>
      <c r="P33" s="6" t="s">
        <v>1</v>
      </c>
      <c r="Q33" s="599">
        <v>0.02</v>
      </c>
      <c r="R33" s="17"/>
      <c r="S33" s="13" t="s">
        <v>7</v>
      </c>
      <c r="T33" s="17"/>
      <c r="AB33" s="330"/>
    </row>
    <row r="34" spans="2:28" ht="17" thickBot="1">
      <c r="B34" s="11"/>
      <c r="C34" s="402"/>
      <c r="E34" s="663" t="s">
        <v>8</v>
      </c>
      <c r="F34" s="664"/>
      <c r="G34" s="665" t="s">
        <v>424</v>
      </c>
      <c r="H34" s="362"/>
      <c r="I34" s="13" t="s">
        <v>7</v>
      </c>
      <c r="J34" s="490"/>
      <c r="K34" s="17"/>
      <c r="L34" s="379"/>
      <c r="M34" s="455"/>
      <c r="O34" s="617" t="s">
        <v>415</v>
      </c>
      <c r="P34" s="618" t="s">
        <v>0</v>
      </c>
      <c r="Q34" s="619">
        <v>0</v>
      </c>
      <c r="R34" s="148"/>
      <c r="S34" s="13" t="s">
        <v>7</v>
      </c>
      <c r="T34" s="17"/>
      <c r="AB34" s="330"/>
    </row>
    <row r="35" spans="2:28" ht="17" thickBot="1">
      <c r="B35" s="11"/>
      <c r="C35" s="408"/>
      <c r="E35" s="553" t="s">
        <v>207</v>
      </c>
      <c r="F35" s="554" t="s">
        <v>321</v>
      </c>
      <c r="G35" s="555">
        <v>250</v>
      </c>
      <c r="H35" s="367"/>
      <c r="I35" s="13" t="s">
        <v>7</v>
      </c>
      <c r="J35" s="490"/>
      <c r="K35" s="17"/>
      <c r="L35" s="379"/>
      <c r="M35" s="459"/>
      <c r="O35" s="569" t="s">
        <v>238</v>
      </c>
      <c r="P35" s="562"/>
      <c r="Q35" s="620" t="s">
        <v>12</v>
      </c>
      <c r="R35" s="24"/>
      <c r="S35" s="13" t="s">
        <v>7</v>
      </c>
      <c r="T35" s="17"/>
      <c r="AB35" s="330"/>
    </row>
    <row r="36" spans="2:28" ht="17" thickBot="1">
      <c r="B36" s="11"/>
      <c r="C36" s="455"/>
      <c r="E36" s="549" t="s">
        <v>96</v>
      </c>
      <c r="F36" s="7" t="s">
        <v>97</v>
      </c>
      <c r="G36" s="615">
        <v>0</v>
      </c>
      <c r="H36" s="368"/>
      <c r="I36" s="13" t="s">
        <v>7</v>
      </c>
      <c r="J36" s="490"/>
      <c r="K36" s="17"/>
      <c r="L36" s="11"/>
      <c r="AB36" s="330"/>
    </row>
    <row r="37" spans="2:28" ht="17" thickBot="1">
      <c r="B37" s="11"/>
      <c r="C37" s="409"/>
      <c r="D37" s="17"/>
      <c r="E37" s="574" t="s">
        <v>206</v>
      </c>
      <c r="F37" s="7" t="s">
        <v>1</v>
      </c>
      <c r="G37" s="575">
        <v>0.02</v>
      </c>
      <c r="H37" s="352"/>
      <c r="I37" s="13" t="s">
        <v>7</v>
      </c>
      <c r="J37" s="491"/>
      <c r="K37" s="17"/>
      <c r="L37" s="379"/>
      <c r="O37" s="5" t="s">
        <v>412</v>
      </c>
      <c r="P37" s="430" t="s">
        <v>283</v>
      </c>
      <c r="Q37" s="498" t="s">
        <v>318</v>
      </c>
      <c r="R37" s="17"/>
      <c r="AB37" s="330"/>
    </row>
    <row r="38" spans="2:28" ht="17" thickBot="1">
      <c r="B38" s="11"/>
      <c r="C38" s="401"/>
      <c r="E38" s="559" t="s">
        <v>204</v>
      </c>
      <c r="F38" s="7" t="s">
        <v>27</v>
      </c>
      <c r="G38" s="560">
        <v>10</v>
      </c>
      <c r="H38" s="353"/>
      <c r="I38" s="13" t="s">
        <v>7</v>
      </c>
      <c r="J38" s="491"/>
      <c r="K38" s="17"/>
      <c r="L38" s="379"/>
      <c r="M38" s="459"/>
      <c r="O38" s="676" t="s">
        <v>418</v>
      </c>
      <c r="P38" s="677"/>
      <c r="Q38" s="678" t="s">
        <v>478</v>
      </c>
      <c r="S38" s="13" t="s">
        <v>7</v>
      </c>
      <c r="AB38" s="330"/>
    </row>
    <row r="39" spans="2:28" ht="17" thickBot="1">
      <c r="B39" s="11"/>
      <c r="C39" s="409"/>
      <c r="D39" s="17"/>
      <c r="E39" s="561" t="s">
        <v>205</v>
      </c>
      <c r="F39" s="562" t="s">
        <v>1</v>
      </c>
      <c r="G39" s="563">
        <v>0.02</v>
      </c>
      <c r="H39" s="359"/>
      <c r="I39" s="13" t="s">
        <v>7</v>
      </c>
      <c r="J39" s="490"/>
      <c r="K39" s="17"/>
      <c r="L39" s="379"/>
      <c r="M39" s="455"/>
      <c r="N39" s="1">
        <f>IF(OR(Q39&lt;0,Q39&gt;1),1,0)</f>
        <v>0</v>
      </c>
      <c r="O39" s="553" t="s">
        <v>199</v>
      </c>
      <c r="P39" s="547" t="s">
        <v>1</v>
      </c>
      <c r="Q39" s="622">
        <v>0.3</v>
      </c>
      <c r="R39" s="17">
        <f>IF(OR($Q$38="Performance-Based",$Q$38="Neither"),1,0)</f>
        <v>1</v>
      </c>
      <c r="S39" s="13" t="s">
        <v>7</v>
      </c>
      <c r="AB39" s="330"/>
    </row>
    <row r="40" spans="2:28">
      <c r="B40" s="11"/>
      <c r="C40" s="455"/>
      <c r="E40" s="621" t="s">
        <v>63</v>
      </c>
      <c r="F40" s="6" t="s">
        <v>1</v>
      </c>
      <c r="G40" s="568">
        <v>3.0000000000000001E-3</v>
      </c>
      <c r="H40" s="352"/>
      <c r="I40" s="450" t="s">
        <v>7</v>
      </c>
      <c r="J40" s="490"/>
      <c r="K40" s="17"/>
      <c r="L40" s="11"/>
      <c r="N40" s="1">
        <f>IF(OR(Q40&lt;0,Q40&gt;1),1,0)</f>
        <v>0</v>
      </c>
      <c r="O40" s="553" t="s">
        <v>25</v>
      </c>
      <c r="P40" s="547" t="s">
        <v>1</v>
      </c>
      <c r="Q40" s="622">
        <v>1</v>
      </c>
      <c r="AB40" s="330"/>
    </row>
    <row r="41" spans="2:28">
      <c r="B41" s="11"/>
      <c r="E41" s="559" t="s">
        <v>308</v>
      </c>
      <c r="F41" s="7" t="s">
        <v>0</v>
      </c>
      <c r="G41" s="565">
        <f>$G$40*IF($G$22="Simple",$G$30,IF($G$22="Intermediate",SUM($G$24:$G$27),SUM('Complex Inputs'!$C$116:$C$119)))</f>
        <v>52012.5</v>
      </c>
      <c r="H41" s="356"/>
      <c r="I41" s="450" t="s">
        <v>7</v>
      </c>
      <c r="J41" s="490"/>
      <c r="K41" s="17"/>
      <c r="L41" s="379"/>
      <c r="M41" s="455"/>
      <c r="N41" s="1">
        <f>IF(OR(Q41&lt;1,Q41&gt;G19),1,0)</f>
        <v>0</v>
      </c>
      <c r="O41" s="559" t="s">
        <v>30</v>
      </c>
      <c r="P41" s="21" t="s">
        <v>31</v>
      </c>
      <c r="Q41" s="560">
        <v>1</v>
      </c>
      <c r="R41" s="17"/>
      <c r="S41" s="13" t="s">
        <v>7</v>
      </c>
      <c r="T41" s="17"/>
      <c r="AB41" s="330"/>
    </row>
    <row r="42" spans="2:28" ht="17" thickBot="1">
      <c r="B42" s="11"/>
      <c r="C42" s="455"/>
      <c r="E42" s="566" t="s">
        <v>198</v>
      </c>
      <c r="F42" s="6" t="s">
        <v>10</v>
      </c>
      <c r="G42" s="567">
        <v>30000</v>
      </c>
      <c r="H42" s="369"/>
      <c r="I42" s="450" t="s">
        <v>7</v>
      </c>
      <c r="J42" s="491"/>
      <c r="K42" s="17"/>
      <c r="L42" s="11"/>
      <c r="O42" s="569" t="s">
        <v>371</v>
      </c>
      <c r="P42" s="623" t="s">
        <v>0</v>
      </c>
      <c r="Q42" s="680">
        <f>IF(AND($G$79="Yes",$Q$38="Cost-Based"),SUM('Cash Flow'!$G$193:$AJ$193),0)</f>
        <v>0</v>
      </c>
      <c r="S42" s="13" t="s">
        <v>7</v>
      </c>
      <c r="AB42" s="330"/>
    </row>
    <row r="43" spans="2:28">
      <c r="B43" s="11"/>
      <c r="C43" s="455"/>
      <c r="E43" s="586" t="s">
        <v>450</v>
      </c>
      <c r="F43" s="453" t="s">
        <v>451</v>
      </c>
      <c r="G43" s="758">
        <v>4</v>
      </c>
      <c r="I43" s="450" t="s">
        <v>7</v>
      </c>
      <c r="J43" s="330"/>
      <c r="K43" s="17"/>
      <c r="L43" s="379"/>
      <c r="M43" s="459"/>
      <c r="O43" s="621" t="s">
        <v>298</v>
      </c>
      <c r="P43" s="6"/>
      <c r="Q43" s="679" t="s">
        <v>395</v>
      </c>
      <c r="R43" s="17">
        <f>IF(OR($Q$38="Cost-Based",$Q$38="Neither"),1,0)</f>
        <v>1</v>
      </c>
      <c r="S43" s="13" t="s">
        <v>7</v>
      </c>
      <c r="AB43" s="330"/>
    </row>
    <row r="44" spans="2:28">
      <c r="B44" s="11"/>
      <c r="C44" s="455"/>
      <c r="E44" s="586" t="s">
        <v>449</v>
      </c>
      <c r="F44" s="453" t="s">
        <v>1</v>
      </c>
      <c r="G44" s="599">
        <v>0.02</v>
      </c>
      <c r="I44" s="450" t="s">
        <v>7</v>
      </c>
      <c r="J44" s="330"/>
      <c r="K44" s="17"/>
      <c r="L44" s="11"/>
      <c r="O44" s="559" t="s">
        <v>408</v>
      </c>
      <c r="P44" s="21" t="s">
        <v>0</v>
      </c>
      <c r="Q44" s="702">
        <v>500000</v>
      </c>
      <c r="R44" s="308"/>
      <c r="S44" s="13" t="s">
        <v>7</v>
      </c>
      <c r="T44" s="17"/>
      <c r="U44" s="449"/>
      <c r="AB44" s="330"/>
    </row>
    <row r="45" spans="2:28">
      <c r="B45" s="11"/>
      <c r="C45" s="455"/>
      <c r="E45" s="559" t="s">
        <v>240</v>
      </c>
      <c r="F45" s="6" t="s">
        <v>10</v>
      </c>
      <c r="G45" s="567">
        <v>0</v>
      </c>
      <c r="H45" s="369"/>
      <c r="I45" s="450" t="s">
        <v>7</v>
      </c>
      <c r="J45" s="490"/>
      <c r="K45" s="17"/>
      <c r="L45" s="379"/>
      <c r="M45" s="459"/>
      <c r="O45" s="559" t="s">
        <v>419</v>
      </c>
      <c r="P45" s="10"/>
      <c r="Q45" s="614" t="s">
        <v>135</v>
      </c>
      <c r="R45" s="429">
        <f>IF(OR($Q$38="Cost-Based",$Q$38="Neither",$Q$43="Tax Credit"),1,0)</f>
        <v>1</v>
      </c>
      <c r="S45" s="13" t="s">
        <v>7</v>
      </c>
      <c r="AB45" s="330"/>
    </row>
    <row r="46" spans="2:28">
      <c r="B46" s="11"/>
      <c r="C46" s="455"/>
      <c r="E46" s="559" t="s">
        <v>239</v>
      </c>
      <c r="F46" s="6" t="s">
        <v>1</v>
      </c>
      <c r="G46" s="568">
        <v>0</v>
      </c>
      <c r="I46" s="450" t="s">
        <v>7</v>
      </c>
      <c r="J46" s="490"/>
      <c r="K46" s="17"/>
      <c r="L46" s="379"/>
      <c r="M46" s="455"/>
      <c r="O46" s="559" t="s">
        <v>409</v>
      </c>
      <c r="P46" s="257" t="s">
        <v>52</v>
      </c>
      <c r="Q46" s="615">
        <v>1.5</v>
      </c>
      <c r="R46" s="24"/>
      <c r="S46" s="13" t="s">
        <v>7</v>
      </c>
      <c r="AB46" s="330"/>
    </row>
    <row r="47" spans="2:28">
      <c r="B47" s="11"/>
      <c r="C47" s="455"/>
      <c r="E47" s="559" t="s">
        <v>325</v>
      </c>
      <c r="F47" s="6" t="s">
        <v>10</v>
      </c>
      <c r="G47" s="567">
        <v>25000</v>
      </c>
      <c r="H47" s="369"/>
      <c r="I47" s="450" t="s">
        <v>7</v>
      </c>
      <c r="J47" s="490"/>
      <c r="K47" s="17"/>
      <c r="L47" s="11"/>
      <c r="N47" s="777">
        <f>IF(OR(Q47&lt;0,Q47&gt;1),1,0)</f>
        <v>0</v>
      </c>
      <c r="O47" s="559" t="s">
        <v>157</v>
      </c>
      <c r="P47" s="7" t="s">
        <v>1</v>
      </c>
      <c r="Q47" s="599">
        <v>1</v>
      </c>
      <c r="T47" s="429"/>
      <c r="U47" s="17"/>
      <c r="AB47" s="330"/>
    </row>
    <row r="48" spans="2:28">
      <c r="B48" s="11"/>
      <c r="C48" s="455"/>
      <c r="E48" s="549" t="s">
        <v>112</v>
      </c>
      <c r="F48" s="6" t="s">
        <v>1</v>
      </c>
      <c r="G48" s="568">
        <v>0</v>
      </c>
      <c r="H48" s="352"/>
      <c r="I48" s="450" t="s">
        <v>7</v>
      </c>
      <c r="J48" s="490"/>
      <c r="K48" s="17"/>
      <c r="L48" s="379"/>
      <c r="M48" s="455"/>
      <c r="N48" s="1">
        <f>IF(OR(Q48&lt;0,Q48&gt;G19),1,0)</f>
        <v>0</v>
      </c>
      <c r="O48" s="559" t="s">
        <v>410</v>
      </c>
      <c r="P48" s="21" t="s">
        <v>31</v>
      </c>
      <c r="Q48" s="560">
        <v>10</v>
      </c>
      <c r="R48" s="24"/>
      <c r="S48" s="13" t="s">
        <v>7</v>
      </c>
      <c r="U48" s="431"/>
      <c r="AB48" s="330"/>
    </row>
    <row r="49" spans="2:28" ht="17" thickBot="1">
      <c r="B49" s="11"/>
      <c r="E49" s="569" t="s">
        <v>309</v>
      </c>
      <c r="F49" s="562" t="s">
        <v>0</v>
      </c>
      <c r="G49" s="570">
        <f>-'Cash Flow'!G44</f>
        <v>0</v>
      </c>
      <c r="H49" s="356"/>
      <c r="I49" s="450" t="s">
        <v>7</v>
      </c>
      <c r="J49" s="330"/>
      <c r="K49" s="17"/>
      <c r="L49" s="379"/>
      <c r="M49" s="455"/>
      <c r="O49" s="559" t="s">
        <v>411</v>
      </c>
      <c r="P49" s="6" t="s">
        <v>1</v>
      </c>
      <c r="Q49" s="599">
        <v>0.02</v>
      </c>
      <c r="R49" s="17"/>
      <c r="S49" s="13" t="s">
        <v>7</v>
      </c>
      <c r="T49" s="429"/>
      <c r="AB49" s="330"/>
    </row>
    <row r="50" spans="2:28" ht="17" thickBot="1">
      <c r="B50" s="11"/>
      <c r="C50" s="410"/>
      <c r="E50" s="12"/>
      <c r="F50" s="12"/>
      <c r="G50" s="12"/>
      <c r="I50" s="19"/>
      <c r="J50" s="490"/>
      <c r="K50" s="17"/>
      <c r="L50" s="379"/>
      <c r="M50" s="455"/>
      <c r="N50" s="17"/>
      <c r="O50" s="700" t="s">
        <v>417</v>
      </c>
      <c r="P50" s="664" t="s">
        <v>323</v>
      </c>
      <c r="Q50" s="703">
        <v>0</v>
      </c>
      <c r="S50" s="13" t="s">
        <v>7</v>
      </c>
      <c r="U50" s="381"/>
      <c r="AB50" s="330"/>
    </row>
    <row r="51" spans="2:28" ht="17" thickBot="1">
      <c r="B51" s="11"/>
      <c r="C51" s="410"/>
      <c r="E51" s="5" t="s">
        <v>190</v>
      </c>
      <c r="F51" s="430" t="s">
        <v>283</v>
      </c>
      <c r="G51" s="498" t="s">
        <v>318</v>
      </c>
      <c r="H51" s="370"/>
      <c r="I51" s="19"/>
      <c r="J51" s="490"/>
      <c r="K51" s="17"/>
      <c r="L51" s="11"/>
      <c r="O51" s="559" t="s">
        <v>407</v>
      </c>
      <c r="P51" s="21" t="s">
        <v>0</v>
      </c>
      <c r="Q51" s="701">
        <v>500000</v>
      </c>
      <c r="S51" s="13" t="s">
        <v>7</v>
      </c>
      <c r="T51" s="499"/>
      <c r="U51" s="17"/>
      <c r="AB51" s="330"/>
    </row>
    <row r="52" spans="2:28" ht="17" thickBot="1">
      <c r="B52" s="11"/>
      <c r="C52" s="457"/>
      <c r="E52" s="558" t="s">
        <v>4</v>
      </c>
      <c r="F52" s="547" t="s">
        <v>35</v>
      </c>
      <c r="G52" s="573">
        <v>9</v>
      </c>
      <c r="H52" s="370"/>
      <c r="I52" s="13" t="s">
        <v>7</v>
      </c>
      <c r="J52" s="490"/>
      <c r="K52" s="17"/>
      <c r="L52" s="379"/>
      <c r="M52" s="459"/>
      <c r="O52" s="569" t="s">
        <v>237</v>
      </c>
      <c r="P52" s="562"/>
      <c r="Q52" s="620" t="s">
        <v>12</v>
      </c>
      <c r="R52" s="24"/>
      <c r="S52" s="13" t="s">
        <v>7</v>
      </c>
      <c r="U52" s="17"/>
      <c r="AB52" s="330"/>
    </row>
    <row r="53" spans="2:28" ht="17" thickBot="1">
      <c r="B53" s="11"/>
      <c r="C53" s="457"/>
      <c r="E53" s="574" t="s">
        <v>34</v>
      </c>
      <c r="F53" s="7" t="s">
        <v>1</v>
      </c>
      <c r="G53" s="575">
        <v>5.5E-2</v>
      </c>
      <c r="H53" s="370"/>
      <c r="I53" s="13" t="s">
        <v>7</v>
      </c>
      <c r="J53" s="490"/>
      <c r="K53" s="17"/>
      <c r="L53" s="379"/>
      <c r="T53" s="17"/>
      <c r="U53" s="17"/>
      <c r="AB53" s="330"/>
    </row>
    <row r="54" spans="2:28" ht="17" thickBot="1">
      <c r="B54" s="11"/>
      <c r="C54" s="410"/>
      <c r="E54" s="561" t="s">
        <v>36</v>
      </c>
      <c r="F54" s="551" t="s">
        <v>0</v>
      </c>
      <c r="G54" s="570">
        <f>IF($G$22="intermediate",SUM(G24:G27)*($G$53/12)*($G$52/2),IF($G$22="complex",'Complex Inputs'!$C$107,0))</f>
        <v>0</v>
      </c>
      <c r="H54" s="370"/>
      <c r="I54" s="13" t="s">
        <v>7</v>
      </c>
      <c r="J54" s="490"/>
      <c r="K54" s="17"/>
      <c r="L54" s="379"/>
      <c r="M54" s="17"/>
      <c r="N54" s="17"/>
      <c r="O54" s="5" t="s">
        <v>480</v>
      </c>
      <c r="P54" s="26"/>
      <c r="Q54" s="498"/>
      <c r="R54" s="17"/>
      <c r="S54" s="17"/>
      <c r="T54" s="17"/>
      <c r="U54" s="17"/>
      <c r="AB54" s="330"/>
    </row>
    <row r="55" spans="2:28" ht="17" thickBot="1">
      <c r="B55" s="11"/>
      <c r="G55" s="252"/>
      <c r="H55" s="252"/>
      <c r="I55" s="19"/>
      <c r="J55" s="490"/>
      <c r="K55" s="17"/>
      <c r="L55" s="379"/>
      <c r="M55" s="460"/>
      <c r="N55" s="17">
        <f>IF(OR(Q55&lt;1,Q55&gt;$G$19),1,0)</f>
        <v>0</v>
      </c>
      <c r="O55" s="558" t="s">
        <v>455</v>
      </c>
      <c r="P55" s="618" t="s">
        <v>27</v>
      </c>
      <c r="Q55" s="748">
        <f>ROUND($G$18/8760,0)</f>
        <v>5</v>
      </c>
      <c r="R55" s="17"/>
      <c r="S55" s="13" t="s">
        <v>7</v>
      </c>
      <c r="T55" s="17"/>
      <c r="U55" s="17"/>
      <c r="AB55" s="330"/>
    </row>
    <row r="56" spans="2:28" ht="17" thickBot="1">
      <c r="B56" s="11"/>
      <c r="C56" s="410"/>
      <c r="E56" s="583" t="s">
        <v>33</v>
      </c>
      <c r="F56" s="584" t="s">
        <v>283</v>
      </c>
      <c r="G56" s="585" t="s">
        <v>318</v>
      </c>
      <c r="H56" s="370"/>
      <c r="I56" s="492"/>
      <c r="J56" s="490"/>
      <c r="K56" s="17"/>
      <c r="L56" s="379"/>
      <c r="M56" s="409"/>
      <c r="N56" s="17"/>
      <c r="O56" s="561" t="s">
        <v>249</v>
      </c>
      <c r="P56" s="623" t="str">
        <f>$F$23</f>
        <v>$/kW</v>
      </c>
      <c r="Q56" s="627">
        <v>0</v>
      </c>
      <c r="R56" s="17"/>
      <c r="S56" s="13" t="s">
        <v>7</v>
      </c>
      <c r="T56" s="17"/>
      <c r="U56" s="17"/>
      <c r="AB56" s="330"/>
    </row>
    <row r="57" spans="2:28">
      <c r="B57" s="11"/>
      <c r="C57" s="455"/>
      <c r="D57" s="1">
        <f>IF(OR(G57="",G57&lt;0,G57&gt;1),1,0)</f>
        <v>0</v>
      </c>
      <c r="E57" s="564" t="s">
        <v>241</v>
      </c>
      <c r="F57" s="547" t="s">
        <v>1</v>
      </c>
      <c r="G57" s="576">
        <v>0.4</v>
      </c>
      <c r="H57" s="371"/>
      <c r="I57" s="13" t="s">
        <v>7</v>
      </c>
      <c r="J57" s="491"/>
      <c r="K57" s="17"/>
      <c r="L57" s="379"/>
      <c r="M57" s="460"/>
      <c r="N57" s="17">
        <f>IF(OR(Q57&lt;Q55,Q57&gt;$G$19),1,0)</f>
        <v>0</v>
      </c>
      <c r="O57" s="626" t="s">
        <v>456</v>
      </c>
      <c r="P57" s="28" t="s">
        <v>27</v>
      </c>
      <c r="Q57" s="749">
        <f>Q55+ROUND($G$18/8760,0)</f>
        <v>10</v>
      </c>
      <c r="R57" s="17"/>
      <c r="S57" s="13" t="s">
        <v>7</v>
      </c>
      <c r="T57" s="17"/>
      <c r="AB57" s="330"/>
    </row>
    <row r="58" spans="2:28" ht="17" thickBot="1">
      <c r="B58" s="11"/>
      <c r="C58" s="455"/>
      <c r="D58" s="1">
        <f>IF(OR(G58&lt;=0,G58&gt;G19),1,0)</f>
        <v>0</v>
      </c>
      <c r="E58" s="559" t="s">
        <v>401</v>
      </c>
      <c r="F58" s="7" t="s">
        <v>3</v>
      </c>
      <c r="G58" s="560">
        <v>13</v>
      </c>
      <c r="H58" s="353"/>
      <c r="I58" s="13" t="s">
        <v>7</v>
      </c>
      <c r="J58" s="491"/>
      <c r="K58" s="17"/>
      <c r="L58" s="379"/>
      <c r="M58" s="409"/>
      <c r="N58" s="17"/>
      <c r="O58" s="561" t="s">
        <v>250</v>
      </c>
      <c r="P58" s="623" t="str">
        <f>$F$23</f>
        <v>$/kW</v>
      </c>
      <c r="Q58" s="627">
        <v>0</v>
      </c>
      <c r="R58" s="17"/>
      <c r="S58" s="13" t="s">
        <v>7</v>
      </c>
      <c r="T58" s="17"/>
      <c r="AB58" s="330"/>
    </row>
    <row r="59" spans="2:28">
      <c r="B59" s="11"/>
      <c r="C59" s="457"/>
      <c r="D59" s="1">
        <f>IF(OR(G59&lt;0,G59=""),1,0)</f>
        <v>0</v>
      </c>
      <c r="E59" s="559" t="s">
        <v>203</v>
      </c>
      <c r="F59" s="7" t="s">
        <v>1</v>
      </c>
      <c r="G59" s="588">
        <v>7.0000000000000007E-2</v>
      </c>
      <c r="H59" s="372"/>
      <c r="I59" s="13" t="s">
        <v>7</v>
      </c>
      <c r="J59" s="491"/>
      <c r="K59" s="17"/>
      <c r="L59" s="379"/>
      <c r="M59" s="460"/>
      <c r="N59" s="17">
        <f>IF(OR(Q59&lt;Q57,Q59&gt;$G$19),1,0)</f>
        <v>0</v>
      </c>
      <c r="O59" s="574" t="s">
        <v>457</v>
      </c>
      <c r="P59" s="21" t="s">
        <v>27</v>
      </c>
      <c r="Q59" s="749">
        <f>Q57+ROUND($G$18/8760,0)</f>
        <v>15</v>
      </c>
      <c r="R59" s="17"/>
      <c r="S59" s="13" t="s">
        <v>7</v>
      </c>
      <c r="T59" s="17"/>
      <c r="AB59" s="330"/>
    </row>
    <row r="60" spans="2:28" ht="17" thickBot="1">
      <c r="B60" s="11"/>
      <c r="C60" s="455"/>
      <c r="D60" s="1">
        <f>IF(OR(G60&lt;0,G60=""),1,0)</f>
        <v>0</v>
      </c>
      <c r="E60" s="589" t="s">
        <v>47</v>
      </c>
      <c r="F60" s="562" t="s">
        <v>1</v>
      </c>
      <c r="G60" s="759">
        <v>0.03</v>
      </c>
      <c r="H60" s="352"/>
      <c r="I60" s="13" t="s">
        <v>7</v>
      </c>
      <c r="J60" s="490"/>
      <c r="K60" s="17"/>
      <c r="L60" s="379"/>
      <c r="M60" s="409"/>
      <c r="N60" s="17"/>
      <c r="O60" s="561" t="s">
        <v>353</v>
      </c>
      <c r="P60" s="623" t="str">
        <f>$F$23</f>
        <v>$/kW</v>
      </c>
      <c r="Q60" s="627">
        <v>0</v>
      </c>
      <c r="R60" s="17"/>
      <c r="S60" s="13" t="s">
        <v>7</v>
      </c>
      <c r="AB60" s="330"/>
    </row>
    <row r="61" spans="2:28">
      <c r="B61" s="11"/>
      <c r="C61" s="455"/>
      <c r="E61" s="586" t="s">
        <v>216</v>
      </c>
      <c r="F61" s="453"/>
      <c r="G61" s="587">
        <v>1.2</v>
      </c>
      <c r="H61" s="360"/>
      <c r="I61" s="13" t="s">
        <v>7</v>
      </c>
      <c r="J61" s="490"/>
      <c r="K61" s="17"/>
      <c r="L61" s="379"/>
      <c r="M61" s="460"/>
      <c r="N61" s="17">
        <f>IF(OR(Q61&lt;Q59,Q61&gt;$G$19),1,0)</f>
        <v>0</v>
      </c>
      <c r="O61" s="574" t="s">
        <v>458</v>
      </c>
      <c r="P61" s="21" t="s">
        <v>27</v>
      </c>
      <c r="Q61" s="749">
        <f>Q59+ROUND($G$18/8760,0)</f>
        <v>20</v>
      </c>
      <c r="R61" s="17"/>
      <c r="S61" s="13" t="s">
        <v>7</v>
      </c>
      <c r="U61" s="17"/>
      <c r="AB61" s="330"/>
    </row>
    <row r="62" spans="2:28" ht="17" thickBot="1">
      <c r="B62" s="11"/>
      <c r="E62" s="578" t="s">
        <v>217</v>
      </c>
      <c r="F62" s="332">
        <f>MAX('Cash Flow'!G52:AJ52)</f>
        <v>13</v>
      </c>
      <c r="G62" s="579">
        <f>ROUND('Cash Flow'!$F$51,2)</f>
        <v>1.34</v>
      </c>
      <c r="H62" s="361"/>
      <c r="I62" s="13" t="s">
        <v>7</v>
      </c>
      <c r="J62" s="490"/>
      <c r="K62" s="17"/>
      <c r="L62" s="379"/>
      <c r="M62" s="409"/>
      <c r="N62" s="17"/>
      <c r="O62" s="751" t="s">
        <v>354</v>
      </c>
      <c r="P62" s="752" t="str">
        <f>$F$23</f>
        <v>$/kW</v>
      </c>
      <c r="Q62" s="753">
        <v>0</v>
      </c>
      <c r="R62" s="17"/>
      <c r="S62" s="13" t="s">
        <v>7</v>
      </c>
      <c r="AB62" s="330"/>
    </row>
    <row r="63" spans="2:28" ht="17" thickBot="1">
      <c r="B63" s="11"/>
      <c r="C63" s="455"/>
      <c r="E63" s="578" t="s">
        <v>316</v>
      </c>
      <c r="F63" s="10" t="s">
        <v>187</v>
      </c>
      <c r="G63" s="580" t="str">
        <f>IF($G$62&gt;=$G$61,"Pass","Fail")</f>
        <v>Pass</v>
      </c>
      <c r="H63" s="493"/>
      <c r="I63" s="13" t="s">
        <v>7</v>
      </c>
      <c r="J63" s="491"/>
      <c r="K63" s="17"/>
      <c r="L63" s="379"/>
      <c r="O63" s="754" t="s">
        <v>476</v>
      </c>
      <c r="P63" s="756" t="s">
        <v>1</v>
      </c>
      <c r="Q63" s="755">
        <v>0.1</v>
      </c>
      <c r="U63" s="17"/>
      <c r="AB63" s="330"/>
    </row>
    <row r="64" spans="2:28" ht="17" thickBot="1">
      <c r="B64" s="11"/>
      <c r="C64" s="455"/>
      <c r="E64" s="578" t="s">
        <v>246</v>
      </c>
      <c r="F64" s="10"/>
      <c r="G64" s="581">
        <v>1.45</v>
      </c>
      <c r="H64" s="360"/>
      <c r="I64" s="13" t="s">
        <v>7</v>
      </c>
      <c r="J64" s="490"/>
      <c r="K64" s="17"/>
      <c r="L64" s="11"/>
      <c r="U64" s="470"/>
      <c r="AB64" s="330"/>
    </row>
    <row r="65" spans="2:28" ht="17" thickBot="1">
      <c r="B65" s="11"/>
      <c r="E65" s="578" t="s">
        <v>245</v>
      </c>
      <c r="F65" s="332"/>
      <c r="G65" s="579">
        <f>ROUND('Cash Flow'!$E$51,2)</f>
        <v>1.64</v>
      </c>
      <c r="H65" s="361"/>
      <c r="I65" s="13" t="s">
        <v>7</v>
      </c>
      <c r="J65" s="490"/>
      <c r="K65" s="17"/>
      <c r="L65" s="379"/>
      <c r="M65" s="17"/>
      <c r="N65" s="17"/>
      <c r="O65" s="5" t="s">
        <v>44</v>
      </c>
      <c r="P65" s="430" t="s">
        <v>283</v>
      </c>
      <c r="Q65" s="498" t="s">
        <v>318</v>
      </c>
      <c r="R65" s="17"/>
      <c r="S65" s="17"/>
      <c r="T65" s="17"/>
      <c r="U65" s="470"/>
      <c r="AB65" s="330"/>
    </row>
    <row r="66" spans="2:28" ht="17" thickBot="1">
      <c r="B66" s="11"/>
      <c r="C66" s="455"/>
      <c r="E66" s="550" t="s">
        <v>317</v>
      </c>
      <c r="F66" s="551" t="s">
        <v>187</v>
      </c>
      <c r="G66" s="582" t="str">
        <f>IF($G$65&gt;=$G$64,"Pass","Fail")</f>
        <v>Pass</v>
      </c>
      <c r="H66" s="493"/>
      <c r="I66" s="13" t="s">
        <v>7</v>
      </c>
      <c r="J66" s="490"/>
      <c r="K66" s="17"/>
      <c r="L66" s="379"/>
      <c r="M66" s="17"/>
      <c r="N66" s="17"/>
      <c r="O66" s="628" t="s">
        <v>43</v>
      </c>
      <c r="P66" s="629"/>
      <c r="Q66" s="630"/>
      <c r="R66" s="17"/>
      <c r="S66" s="17"/>
      <c r="T66" s="17"/>
      <c r="U66" s="463"/>
      <c r="AB66" s="330"/>
    </row>
    <row r="67" spans="2:28">
      <c r="B67" s="11"/>
      <c r="E67" s="546" t="s">
        <v>320</v>
      </c>
      <c r="F67" s="547" t="s">
        <v>1</v>
      </c>
      <c r="G67" s="590">
        <f>1-G57</f>
        <v>0.6</v>
      </c>
      <c r="H67" s="373"/>
      <c r="I67" s="13" t="s">
        <v>7</v>
      </c>
      <c r="J67" s="490"/>
      <c r="K67" s="17"/>
      <c r="L67" s="379"/>
      <c r="M67" s="459"/>
      <c r="N67" s="17"/>
      <c r="O67" s="631" t="s">
        <v>45</v>
      </c>
      <c r="P67" s="27"/>
      <c r="Q67" s="614" t="s">
        <v>432</v>
      </c>
      <c r="R67" s="17"/>
      <c r="S67" s="13" t="s">
        <v>7</v>
      </c>
      <c r="T67" s="17"/>
      <c r="U67" s="17"/>
      <c r="AB67" s="330"/>
    </row>
    <row r="68" spans="2:28" ht="17" thickBot="1">
      <c r="B68" s="11"/>
      <c r="C68" s="455"/>
      <c r="D68" s="1">
        <f>IF(OR(G68&lt;0,G68=""),1,0)</f>
        <v>0</v>
      </c>
      <c r="E68" s="591" t="s">
        <v>263</v>
      </c>
      <c r="F68" s="562" t="s">
        <v>1</v>
      </c>
      <c r="G68" s="577">
        <v>0.12</v>
      </c>
      <c r="H68" s="372"/>
      <c r="I68" s="13" t="s">
        <v>7</v>
      </c>
      <c r="J68" s="490"/>
      <c r="K68" s="17"/>
      <c r="L68" s="379"/>
      <c r="M68" s="460"/>
      <c r="N68" s="17"/>
      <c r="O68" s="561" t="s">
        <v>46</v>
      </c>
      <c r="P68" s="623" t="s">
        <v>0</v>
      </c>
      <c r="Q68" s="593">
        <v>0</v>
      </c>
      <c r="R68" s="17"/>
      <c r="S68" s="13" t="s">
        <v>7</v>
      </c>
      <c r="T68" s="17"/>
      <c r="U68" s="17"/>
      <c r="AB68" s="330"/>
    </row>
    <row r="69" spans="2:28" ht="17" thickBot="1">
      <c r="B69" s="11"/>
      <c r="E69" s="564" t="s">
        <v>302</v>
      </c>
      <c r="F69" s="547" t="s">
        <v>1</v>
      </c>
      <c r="G69" s="592">
        <f>(G68*F74)+(F73*G59*(1-G84))</f>
        <v>8.8652999999999996E-2</v>
      </c>
      <c r="I69" s="13" t="s">
        <v>7</v>
      </c>
      <c r="J69" s="330"/>
      <c r="K69" s="17"/>
      <c r="L69" s="379"/>
      <c r="U69" s="17"/>
      <c r="AB69" s="330"/>
    </row>
    <row r="70" spans="2:28" ht="17" thickBot="1">
      <c r="B70" s="11"/>
      <c r="C70" s="455"/>
      <c r="E70" s="589" t="s">
        <v>172</v>
      </c>
      <c r="F70" s="562" t="s">
        <v>0</v>
      </c>
      <c r="G70" s="593">
        <v>0</v>
      </c>
      <c r="H70" s="369"/>
      <c r="I70" s="13" t="s">
        <v>7</v>
      </c>
      <c r="J70" s="330"/>
      <c r="K70" s="17"/>
      <c r="L70" s="379"/>
      <c r="M70" s="17"/>
      <c r="N70" s="17"/>
      <c r="O70" s="5" t="s">
        <v>37</v>
      </c>
      <c r="P70" s="430" t="s">
        <v>283</v>
      </c>
      <c r="Q70" s="498" t="s">
        <v>318</v>
      </c>
      <c r="R70" s="17"/>
      <c r="S70" s="17"/>
      <c r="T70" s="17"/>
      <c r="U70" s="17"/>
      <c r="AB70" s="330"/>
    </row>
    <row r="71" spans="2:28" ht="17" thickBot="1">
      <c r="B71" s="11"/>
      <c r="J71" s="330"/>
      <c r="L71" s="379"/>
      <c r="M71" s="17"/>
      <c r="N71" s="17"/>
      <c r="O71" s="632" t="s">
        <v>38</v>
      </c>
      <c r="P71" s="624"/>
      <c r="Q71" s="625"/>
      <c r="R71" s="17"/>
      <c r="S71" s="17"/>
      <c r="T71" s="17"/>
      <c r="AB71" s="330"/>
    </row>
    <row r="72" spans="2:28" ht="17" thickBot="1">
      <c r="B72" s="379"/>
      <c r="E72" s="398" t="s">
        <v>244</v>
      </c>
      <c r="F72" s="26"/>
      <c r="G72" s="399"/>
      <c r="J72" s="330"/>
      <c r="K72" s="17"/>
      <c r="L72" s="379"/>
      <c r="M72" s="460"/>
      <c r="N72" s="17"/>
      <c r="O72" s="559" t="s">
        <v>42</v>
      </c>
      <c r="P72" s="7" t="s">
        <v>35</v>
      </c>
      <c r="Q72" s="560">
        <v>6</v>
      </c>
      <c r="R72" s="17"/>
      <c r="S72" s="13" t="s">
        <v>7</v>
      </c>
      <c r="T72" s="17"/>
      <c r="U72" s="17"/>
      <c r="AB72" s="330"/>
    </row>
    <row r="73" spans="2:28" ht="17" thickBot="1">
      <c r="B73" s="379"/>
      <c r="E73" s="564" t="s">
        <v>242</v>
      </c>
      <c r="F73" s="682">
        <f>G73/$G$76</f>
        <v>0.4</v>
      </c>
      <c r="G73" s="594">
        <f>'Cash Flow'!F92</f>
        <v>6935000</v>
      </c>
      <c r="I73" s="13" t="s">
        <v>7</v>
      </c>
      <c r="J73" s="330"/>
      <c r="L73" s="379"/>
      <c r="M73" s="17"/>
      <c r="N73" s="17"/>
      <c r="O73" s="569" t="s">
        <v>41</v>
      </c>
      <c r="P73" s="562" t="s">
        <v>0</v>
      </c>
      <c r="Q73" s="633">
        <f>-'Cash Flow'!$G$95/12*$Q$72</f>
        <v>414889.31591247208</v>
      </c>
      <c r="R73" s="17"/>
      <c r="S73" s="13" t="s">
        <v>7</v>
      </c>
      <c r="T73" s="17"/>
      <c r="AB73" s="330"/>
    </row>
    <row r="74" spans="2:28">
      <c r="B74" s="379"/>
      <c r="E74" s="559" t="s">
        <v>243</v>
      </c>
      <c r="F74" s="681">
        <f>G74/$G$76</f>
        <v>0.6</v>
      </c>
      <c r="G74" s="565">
        <f>-'Cash Flow'!$F$62</f>
        <v>10402500</v>
      </c>
      <c r="I74" s="13" t="s">
        <v>7</v>
      </c>
      <c r="J74" s="330"/>
      <c r="L74" s="379"/>
      <c r="M74" s="17"/>
      <c r="N74" s="17"/>
      <c r="O74" s="632" t="s">
        <v>62</v>
      </c>
      <c r="P74" s="624"/>
      <c r="Q74" s="634"/>
      <c r="R74" s="17"/>
      <c r="S74" s="17"/>
      <c r="T74" s="17"/>
      <c r="AB74" s="330"/>
    </row>
    <row r="75" spans="2:28" ht="17" thickBot="1">
      <c r="B75" s="11"/>
      <c r="E75" s="595" t="s">
        <v>306</v>
      </c>
      <c r="F75" s="687">
        <f>G75/$G$76</f>
        <v>0</v>
      </c>
      <c r="G75" s="688">
        <f>IF($Q$35="Yes",$Q$34*(1-$G$80),$Q$34)+IF($Q$52="Yes",IF($Q$51=0,($Q$50*$G$9)*(1-$G$82),MIN($Q$51*(1-$G$82),($Q$50*$G$9)*(1-$G$82))),IF($Q$51=0,$Q$50*$G$9,MIN($Q$51,$Q$50*$G$9)))</f>
        <v>0</v>
      </c>
      <c r="H75" s="358"/>
      <c r="I75" s="13" t="s">
        <v>7</v>
      </c>
      <c r="J75" s="330"/>
      <c r="L75" s="379"/>
      <c r="M75" s="460"/>
      <c r="N75" s="17"/>
      <c r="O75" s="574" t="s">
        <v>39</v>
      </c>
      <c r="P75" s="7" t="s">
        <v>35</v>
      </c>
      <c r="Q75" s="560">
        <v>6</v>
      </c>
      <c r="R75" s="17"/>
      <c r="S75" s="13" t="s">
        <v>7</v>
      </c>
      <c r="T75" s="17"/>
      <c r="AB75" s="330"/>
    </row>
    <row r="76" spans="2:28" ht="18" thickTop="1" thickBot="1">
      <c r="B76" s="379"/>
      <c r="E76" s="596" t="s">
        <v>134</v>
      </c>
      <c r="F76" s="557" t="s">
        <v>0</v>
      </c>
      <c r="G76" s="597">
        <f>SUM(G73:G75)</f>
        <v>17337500</v>
      </c>
      <c r="I76" s="13" t="s">
        <v>7</v>
      </c>
      <c r="J76" s="330"/>
      <c r="L76" s="379"/>
      <c r="M76" s="17"/>
      <c r="N76" s="17"/>
      <c r="O76" s="561" t="s">
        <v>40</v>
      </c>
      <c r="P76" s="562" t="s">
        <v>0</v>
      </c>
      <c r="Q76" s="633">
        <f>-(AVERAGE('Cash Flow'!G46:AJ46)/12*$Q$75)</f>
        <v>1064065.6323816241</v>
      </c>
      <c r="R76" s="17"/>
      <c r="S76" s="13" t="s">
        <v>7</v>
      </c>
      <c r="T76" s="17"/>
      <c r="AB76" s="330"/>
    </row>
    <row r="77" spans="2:28" ht="17" thickBot="1">
      <c r="B77" s="11"/>
      <c r="J77" s="330"/>
      <c r="L77" s="379"/>
      <c r="M77" s="460"/>
      <c r="N77" s="17"/>
      <c r="O77" s="636" t="s">
        <v>145</v>
      </c>
      <c r="P77" s="534" t="s">
        <v>1</v>
      </c>
      <c r="Q77" s="635">
        <v>1.4999999999999999E-2</v>
      </c>
      <c r="R77" s="17"/>
      <c r="S77" s="13" t="s">
        <v>7</v>
      </c>
      <c r="T77" s="17"/>
      <c r="AB77" s="330"/>
    </row>
    <row r="78" spans="2:28" ht="17" thickBot="1">
      <c r="B78" s="11"/>
      <c r="E78" s="5" t="s">
        <v>154</v>
      </c>
      <c r="F78" s="430" t="s">
        <v>283</v>
      </c>
      <c r="G78" s="498" t="s">
        <v>318</v>
      </c>
      <c r="H78" s="374"/>
      <c r="I78" s="19"/>
      <c r="J78" s="330"/>
      <c r="L78" s="11"/>
      <c r="AB78" s="330"/>
    </row>
    <row r="79" spans="2:28" ht="17" thickBot="1">
      <c r="B79" s="11"/>
      <c r="C79" s="458"/>
      <c r="E79" s="533" t="s">
        <v>15</v>
      </c>
      <c r="F79" s="656"/>
      <c r="G79" s="657" t="s">
        <v>12</v>
      </c>
      <c r="H79" s="363"/>
      <c r="I79" s="13" t="s">
        <v>7</v>
      </c>
      <c r="J79" s="330"/>
      <c r="L79" s="11"/>
      <c r="M79" s="17"/>
      <c r="N79" s="17"/>
      <c r="O79" s="432" t="s">
        <v>91</v>
      </c>
      <c r="P79" s="528" t="s">
        <v>319</v>
      </c>
      <c r="Q79" s="528"/>
      <c r="R79" s="528"/>
      <c r="S79" s="528"/>
      <c r="T79" s="528"/>
      <c r="U79" s="528"/>
      <c r="V79" s="528"/>
      <c r="W79" s="528"/>
      <c r="X79" s="528"/>
      <c r="Y79" s="528"/>
      <c r="Z79" s="399"/>
      <c r="AB79" s="330"/>
    </row>
    <row r="80" spans="2:28">
      <c r="B80" s="11"/>
      <c r="C80" s="455"/>
      <c r="D80" s="1">
        <f>IF(OR(G80&lt;0,G80=""),1,0)</f>
        <v>0</v>
      </c>
      <c r="E80" s="553" t="s">
        <v>5</v>
      </c>
      <c r="F80" s="547" t="s">
        <v>1</v>
      </c>
      <c r="G80" s="658">
        <v>0.35</v>
      </c>
      <c r="H80" s="352"/>
      <c r="I80" s="13" t="s">
        <v>7</v>
      </c>
      <c r="J80" s="490"/>
      <c r="L80" s="11"/>
      <c r="M80" s="458"/>
      <c r="N80" s="17"/>
      <c r="O80" s="617" t="s">
        <v>327</v>
      </c>
      <c r="P80" s="598" t="s">
        <v>135</v>
      </c>
      <c r="S80" s="506" t="s">
        <v>7</v>
      </c>
      <c r="Z80" s="330"/>
      <c r="AB80" s="330"/>
    </row>
    <row r="81" spans="2:28" ht="17" thickBot="1">
      <c r="B81" s="11"/>
      <c r="C81" s="458"/>
      <c r="E81" s="616" t="s">
        <v>278</v>
      </c>
      <c r="F81" s="659"/>
      <c r="G81" s="620" t="s">
        <v>305</v>
      </c>
      <c r="H81" s="363"/>
      <c r="I81" s="13" t="s">
        <v>7</v>
      </c>
      <c r="J81" s="330"/>
      <c r="L81" s="11"/>
      <c r="M81" s="460"/>
      <c r="O81" s="569" t="s">
        <v>328</v>
      </c>
      <c r="P81" s="637">
        <v>0.5</v>
      </c>
      <c r="S81" s="13" t="s">
        <v>7</v>
      </c>
      <c r="Z81" s="330"/>
      <c r="AB81" s="330"/>
    </row>
    <row r="82" spans="2:28" ht="17" thickBot="1">
      <c r="B82" s="11"/>
      <c r="C82" s="455"/>
      <c r="D82" s="1">
        <f>IF(OR(G82&lt;0,G82=""),1,0)</f>
        <v>0</v>
      </c>
      <c r="E82" s="553" t="s">
        <v>6</v>
      </c>
      <c r="F82" s="547" t="s">
        <v>1</v>
      </c>
      <c r="G82" s="658">
        <v>8.5000000000000006E-2</v>
      </c>
      <c r="H82" s="352"/>
      <c r="I82" s="13" t="s">
        <v>7</v>
      </c>
      <c r="J82" s="490"/>
      <c r="L82" s="11"/>
      <c r="O82" s="377"/>
      <c r="P82" s="91"/>
      <c r="Q82" s="91"/>
      <c r="R82" s="91"/>
      <c r="S82" s="91"/>
      <c r="T82" s="91"/>
      <c r="U82" s="91"/>
      <c r="V82" s="91"/>
      <c r="W82" s="91"/>
      <c r="X82" s="91"/>
      <c r="Y82" s="91"/>
      <c r="Z82" s="387"/>
      <c r="AB82" s="330"/>
    </row>
    <row r="83" spans="2:28" ht="17" thickBot="1">
      <c r="B83" s="11"/>
      <c r="C83" s="458"/>
      <c r="E83" s="616" t="s">
        <v>279</v>
      </c>
      <c r="F83" s="659"/>
      <c r="G83" s="620" t="s">
        <v>305</v>
      </c>
      <c r="H83" s="363"/>
      <c r="I83" s="13" t="s">
        <v>7</v>
      </c>
      <c r="J83" s="490"/>
      <c r="L83" s="11"/>
      <c r="M83" s="17"/>
      <c r="N83" s="17"/>
      <c r="O83" s="638" t="s">
        <v>329</v>
      </c>
      <c r="P83" s="639" t="s">
        <v>19</v>
      </c>
      <c r="Q83" s="770" t="s">
        <v>127</v>
      </c>
      <c r="R83" s="791" t="s">
        <v>20</v>
      </c>
      <c r="S83" s="792"/>
      <c r="T83" s="793"/>
      <c r="U83" s="639" t="s">
        <v>128</v>
      </c>
      <c r="V83" s="639" t="s">
        <v>129</v>
      </c>
      <c r="W83" s="639" t="s">
        <v>21</v>
      </c>
      <c r="X83" s="639" t="s">
        <v>22</v>
      </c>
      <c r="Y83" s="639" t="s">
        <v>130</v>
      </c>
      <c r="Z83" s="640" t="s">
        <v>23</v>
      </c>
      <c r="AB83" s="330"/>
    </row>
    <row r="84" spans="2:28" ht="17" thickBot="1">
      <c r="B84" s="11"/>
      <c r="E84" s="660" t="s">
        <v>29</v>
      </c>
      <c r="F84" s="661" t="s">
        <v>1</v>
      </c>
      <c r="G84" s="662">
        <f>IF($G$79="Yes",$G$80+(G82*(1-$G$80)),0%)</f>
        <v>0.40525</v>
      </c>
      <c r="H84" s="376"/>
      <c r="I84" s="13" t="s">
        <v>7</v>
      </c>
      <c r="J84" s="490"/>
      <c r="L84" s="11">
        <f>IF(AND($G$79="Yes",$G$22="Simple"),1,0)</f>
        <v>1</v>
      </c>
      <c r="M84" s="17"/>
      <c r="N84" s="308">
        <f>IF(AND($G$22="Simple",SUM(P84:Z84)=1),1,IF(AND($G$22="Simple",SUM(P84:Z84)&lt;&gt;1),2,0))</f>
        <v>1</v>
      </c>
      <c r="O84" s="641" t="str">
        <f t="shared" ref="O84:O89" si="0">E23</f>
        <v>Total Installed Cost</v>
      </c>
      <c r="P84" s="642">
        <v>0.94</v>
      </c>
      <c r="Q84" s="771">
        <v>0</v>
      </c>
      <c r="R84" s="794">
        <v>1.4999999999999999E-2</v>
      </c>
      <c r="S84" s="795"/>
      <c r="T84" s="796"/>
      <c r="U84" s="642">
        <v>0.01</v>
      </c>
      <c r="V84" s="642">
        <v>0</v>
      </c>
      <c r="W84" s="642">
        <v>0</v>
      </c>
      <c r="X84" s="642">
        <v>0.01</v>
      </c>
      <c r="Y84" s="642">
        <v>0</v>
      </c>
      <c r="Z84" s="643">
        <v>2.5000000000000001E-2</v>
      </c>
      <c r="AB84" s="375" t="s">
        <v>7</v>
      </c>
    </row>
    <row r="85" spans="2:28" ht="17" thickBot="1">
      <c r="B85" s="11"/>
      <c r="E85" s="569" t="s">
        <v>91</v>
      </c>
      <c r="F85" s="600"/>
      <c r="G85" s="601" t="s">
        <v>98</v>
      </c>
      <c r="H85" s="487"/>
      <c r="I85" s="13" t="s">
        <v>7</v>
      </c>
      <c r="J85" s="330"/>
      <c r="L85" s="11">
        <f>IF(AND($G$79="Yes",$G$22="Intermediate"),1,0)</f>
        <v>0</v>
      </c>
      <c r="M85" s="17"/>
      <c r="N85" s="308">
        <f>IF(AND($G$22="Intermediate",SUM(P85:Z85)=1),1,IF(AND($G$22="Intermediate",SUM(P85:Z85)&lt;&gt;1),2,0))</f>
        <v>0</v>
      </c>
      <c r="O85" s="644" t="str">
        <f t="shared" si="0"/>
        <v>Generation Equipment</v>
      </c>
      <c r="P85" s="645">
        <v>0.96</v>
      </c>
      <c r="Q85" s="772">
        <v>0</v>
      </c>
      <c r="R85" s="797">
        <v>0.02</v>
      </c>
      <c r="S85" s="798"/>
      <c r="T85" s="799"/>
      <c r="U85" s="645">
        <v>0</v>
      </c>
      <c r="V85" s="645">
        <v>0</v>
      </c>
      <c r="W85" s="645">
        <v>0</v>
      </c>
      <c r="X85" s="645">
        <v>0.02</v>
      </c>
      <c r="Y85" s="645">
        <v>0</v>
      </c>
      <c r="Z85" s="646">
        <v>0</v>
      </c>
      <c r="AB85" s="375" t="s">
        <v>7</v>
      </c>
    </row>
    <row r="86" spans="2:28" ht="17" thickBot="1">
      <c r="B86" s="377"/>
      <c r="C86" s="91"/>
      <c r="D86" s="91"/>
      <c r="E86" s="91"/>
      <c r="F86" s="91"/>
      <c r="G86" s="91"/>
      <c r="H86" s="91"/>
      <c r="I86" s="91"/>
      <c r="J86" s="387"/>
      <c r="L86" s="11">
        <f>IF(AND($G$79="Yes",$G$22="Intermediate"),1,0)</f>
        <v>0</v>
      </c>
      <c r="M86" s="17"/>
      <c r="N86" s="308">
        <f>IF(AND($G$22="Intermediate",SUM(P86:Z86)=1),1,IF(AND($G$22="Intermediate",SUM(P86:Z86)&lt;&gt;1),2,0))</f>
        <v>0</v>
      </c>
      <c r="O86" s="647" t="str">
        <f t="shared" si="0"/>
        <v>Balance of Plant</v>
      </c>
      <c r="P86" s="451">
        <v>0.75</v>
      </c>
      <c r="Q86" s="769">
        <v>0</v>
      </c>
      <c r="R86" s="780">
        <v>0</v>
      </c>
      <c r="S86" s="781"/>
      <c r="T86" s="782"/>
      <c r="U86" s="451">
        <v>0</v>
      </c>
      <c r="V86" s="451">
        <v>0</v>
      </c>
      <c r="W86" s="451">
        <v>0.25</v>
      </c>
      <c r="X86" s="451">
        <v>0</v>
      </c>
      <c r="Y86" s="451">
        <v>0</v>
      </c>
      <c r="Z86" s="648">
        <v>0</v>
      </c>
      <c r="AB86" s="375" t="s">
        <v>7</v>
      </c>
    </row>
    <row r="87" spans="2:28">
      <c r="L87" s="11">
        <f>IF(AND($G$79="Yes",$G$22="Intermediate"),1,0)</f>
        <v>0</v>
      </c>
      <c r="M87" s="17"/>
      <c r="N87" s="308">
        <f>IF(AND($G$22="Intermediate",SUM(P87:Z87)=1),1,IF(AND($G$22="Intermediate",SUM(P87:Z87)&lt;&gt;1),2,0))</f>
        <v>0</v>
      </c>
      <c r="O87" s="647" t="str">
        <f t="shared" si="0"/>
        <v>Interconnection</v>
      </c>
      <c r="P87" s="451">
        <v>0</v>
      </c>
      <c r="Q87" s="769">
        <v>0</v>
      </c>
      <c r="R87" s="780">
        <v>1</v>
      </c>
      <c r="S87" s="781"/>
      <c r="T87" s="782"/>
      <c r="U87" s="451">
        <v>0</v>
      </c>
      <c r="V87" s="451">
        <v>0</v>
      </c>
      <c r="W87" s="451">
        <v>0</v>
      </c>
      <c r="X87" s="451">
        <v>0</v>
      </c>
      <c r="Y87" s="451">
        <v>0</v>
      </c>
      <c r="Z87" s="648">
        <v>0</v>
      </c>
      <c r="AB87" s="375" t="s">
        <v>7</v>
      </c>
    </row>
    <row r="88" spans="2:28">
      <c r="L88" s="11">
        <f>IF(AND($G$79="Yes",$G$22="Intermediate"),1,0)</f>
        <v>0</v>
      </c>
      <c r="M88" s="17"/>
      <c r="N88" s="308">
        <f>IF(AND($G$22="Intermediate",SUM(P88:Z88)=1),1,IF(AND($G$22="Intermediate",SUM(P88:Z88)&lt;&gt;1),2,0))</f>
        <v>0</v>
      </c>
      <c r="O88" s="647" t="str">
        <f t="shared" si="0"/>
        <v>Development Costs &amp; Fee</v>
      </c>
      <c r="P88" s="451">
        <v>0.8</v>
      </c>
      <c r="Q88" s="769">
        <v>0</v>
      </c>
      <c r="R88" s="780">
        <v>0</v>
      </c>
      <c r="S88" s="781"/>
      <c r="T88" s="782"/>
      <c r="U88" s="451">
        <v>0</v>
      </c>
      <c r="V88" s="451">
        <v>0</v>
      </c>
      <c r="W88" s="451">
        <v>0.05</v>
      </c>
      <c r="X88" s="451">
        <v>0.05</v>
      </c>
      <c r="Y88" s="451">
        <v>0</v>
      </c>
      <c r="Z88" s="648">
        <v>0.1</v>
      </c>
      <c r="AB88" s="375" t="s">
        <v>7</v>
      </c>
    </row>
    <row r="89" spans="2:28" ht="17" thickBot="1">
      <c r="L89" s="11">
        <f>IF(AND($G$79="Yes",$G$22="Intermediate"),1,0)</f>
        <v>0</v>
      </c>
      <c r="M89" s="17"/>
      <c r="N89" s="308">
        <f>IF(AND($G$22="Intermediate",SUM(P89:Z89)=1),1,IF(AND($G$22="Intermediate",SUM(P89:Z89)&lt;&gt;1),2,0))</f>
        <v>0</v>
      </c>
      <c r="O89" s="649" t="str">
        <f t="shared" si="0"/>
        <v>Reserves &amp; Financing Costs</v>
      </c>
      <c r="P89" s="650">
        <v>0</v>
      </c>
      <c r="Q89" s="773">
        <v>0</v>
      </c>
      <c r="R89" s="783">
        <v>0</v>
      </c>
      <c r="S89" s="784"/>
      <c r="T89" s="785"/>
      <c r="U89" s="650">
        <v>0</v>
      </c>
      <c r="V89" s="650">
        <v>0</v>
      </c>
      <c r="W89" s="650">
        <v>0</v>
      </c>
      <c r="X89" s="650">
        <v>0.5</v>
      </c>
      <c r="Y89" s="650">
        <v>0</v>
      </c>
      <c r="Z89" s="651">
        <v>0.5</v>
      </c>
      <c r="AB89" s="375" t="s">
        <v>7</v>
      </c>
    </row>
    <row r="90" spans="2:28" ht="17" thickBot="1">
      <c r="L90" s="377">
        <f>IF(AND($G$79="Yes",$G$22="Complex"),1,0)</f>
        <v>0</v>
      </c>
      <c r="M90" s="388"/>
      <c r="N90" s="388"/>
      <c r="O90" s="652" t="s">
        <v>303</v>
      </c>
      <c r="P90" s="653"/>
      <c r="Q90" s="654"/>
      <c r="R90" s="786"/>
      <c r="S90" s="787"/>
      <c r="T90" s="788"/>
      <c r="U90" s="653"/>
      <c r="V90" s="653"/>
      <c r="W90" s="653"/>
      <c r="X90" s="653"/>
      <c r="Y90" s="653"/>
      <c r="Z90" s="655"/>
      <c r="AA90" s="91"/>
      <c r="AB90" s="508" t="s">
        <v>7</v>
      </c>
    </row>
    <row r="92" spans="2:28" ht="17" thickBot="1">
      <c r="M92" s="17"/>
      <c r="N92" s="17"/>
      <c r="O92" s="761"/>
      <c r="P92" s="762"/>
      <c r="Q92" s="762"/>
      <c r="R92" s="17"/>
      <c r="S92" s="17"/>
      <c r="T92" s="17"/>
      <c r="U92" s="762"/>
      <c r="V92" s="762"/>
      <c r="W92" s="762"/>
      <c r="X92" s="762"/>
      <c r="Y92" s="762"/>
      <c r="Z92" s="762"/>
      <c r="AB92" s="15"/>
    </row>
    <row r="93" spans="2:28">
      <c r="B93" s="435"/>
      <c r="C93" s="436"/>
      <c r="D93" s="436"/>
      <c r="E93" s="446" t="s">
        <v>284</v>
      </c>
      <c r="F93" s="436"/>
      <c r="G93" s="436"/>
      <c r="H93" s="436"/>
      <c r="I93" s="436"/>
      <c r="J93" s="436"/>
      <c r="K93" s="436"/>
      <c r="L93" s="436"/>
      <c r="M93" s="437"/>
      <c r="N93" s="437"/>
      <c r="O93" s="437"/>
      <c r="P93" s="437"/>
      <c r="Q93" s="437"/>
      <c r="R93" s="437"/>
      <c r="S93" s="437"/>
      <c r="T93" s="437"/>
      <c r="U93" s="437"/>
      <c r="V93" s="437"/>
      <c r="W93" s="437"/>
      <c r="X93" s="437"/>
      <c r="Y93" s="437"/>
      <c r="Z93" s="437"/>
      <c r="AA93" s="437"/>
      <c r="AB93" s="744"/>
    </row>
    <row r="94" spans="2:28">
      <c r="B94" s="438"/>
      <c r="C94" s="433"/>
      <c r="D94" s="433"/>
      <c r="E94" s="439" t="s">
        <v>286</v>
      </c>
      <c r="F94" s="433"/>
      <c r="G94" s="433"/>
      <c r="H94" s="433"/>
      <c r="I94" s="433"/>
      <c r="J94" s="433"/>
      <c r="K94" s="433"/>
      <c r="L94" s="433"/>
      <c r="M94" s="434"/>
      <c r="N94" s="434"/>
      <c r="O94" s="434"/>
      <c r="P94" s="434"/>
      <c r="Q94" s="434"/>
      <c r="R94" s="434"/>
      <c r="S94" s="434"/>
      <c r="T94" s="434"/>
      <c r="U94" s="434"/>
      <c r="V94" s="433"/>
      <c r="W94" s="433"/>
      <c r="X94" s="433"/>
      <c r="Y94" s="433"/>
      <c r="Z94" s="433"/>
      <c r="AA94" s="433"/>
      <c r="AB94" s="440"/>
    </row>
    <row r="95" spans="2:28">
      <c r="B95" s="438"/>
      <c r="C95" s="433"/>
      <c r="D95" s="433"/>
      <c r="E95" s="439" t="s">
        <v>287</v>
      </c>
      <c r="F95" s="433"/>
      <c r="G95" s="433"/>
      <c r="H95" s="433"/>
      <c r="I95" s="433"/>
      <c r="J95" s="433"/>
      <c r="K95" s="433"/>
      <c r="L95" s="433"/>
      <c r="M95" s="434"/>
      <c r="N95" s="434"/>
      <c r="O95" s="434"/>
      <c r="P95" s="434"/>
      <c r="Q95" s="434"/>
      <c r="R95" s="434"/>
      <c r="S95" s="434"/>
      <c r="T95" s="434"/>
      <c r="U95" s="434"/>
      <c r="V95" s="433"/>
      <c r="W95" s="433"/>
      <c r="X95" s="433"/>
      <c r="Y95" s="433"/>
      <c r="Z95" s="433"/>
      <c r="AA95" s="433"/>
      <c r="AB95" s="440"/>
    </row>
    <row r="96" spans="2:28">
      <c r="B96" s="438"/>
      <c r="C96" s="433"/>
      <c r="D96" s="433"/>
      <c r="E96" s="439" t="s">
        <v>300</v>
      </c>
      <c r="F96" s="433"/>
      <c r="G96" s="433"/>
      <c r="H96" s="433"/>
      <c r="I96" s="433"/>
      <c r="J96" s="433"/>
      <c r="K96" s="433"/>
      <c r="L96" s="433"/>
      <c r="M96" s="434"/>
      <c r="N96" s="434"/>
      <c r="O96" s="434"/>
      <c r="P96" s="434"/>
      <c r="Q96" s="434"/>
      <c r="R96" s="434"/>
      <c r="S96" s="434"/>
      <c r="T96" s="434"/>
      <c r="U96" s="434"/>
      <c r="V96" s="433"/>
      <c r="W96" s="433"/>
      <c r="X96" s="433"/>
      <c r="Y96" s="433"/>
      <c r="Z96" s="433"/>
      <c r="AA96" s="433"/>
      <c r="AB96" s="440"/>
    </row>
    <row r="97" spans="1:29">
      <c r="B97" s="438"/>
      <c r="C97" s="433"/>
      <c r="D97" s="433"/>
      <c r="E97" s="439" t="s">
        <v>301</v>
      </c>
      <c r="F97" s="433"/>
      <c r="G97" s="433"/>
      <c r="H97" s="433"/>
      <c r="I97" s="433"/>
      <c r="J97" s="433"/>
      <c r="K97" s="433"/>
      <c r="L97" s="433"/>
      <c r="M97" s="434"/>
      <c r="N97" s="434"/>
      <c r="O97" s="434"/>
      <c r="P97" s="434"/>
      <c r="Q97" s="434"/>
      <c r="R97" s="434"/>
      <c r="S97" s="434"/>
      <c r="T97" s="434"/>
      <c r="U97" s="434"/>
      <c r="V97" s="433"/>
      <c r="W97" s="433"/>
      <c r="X97" s="433"/>
      <c r="Y97" s="433"/>
      <c r="Z97" s="433"/>
      <c r="AA97" s="433"/>
      <c r="AB97" s="440"/>
    </row>
    <row r="98" spans="1:29">
      <c r="B98" s="438"/>
      <c r="C98" s="433"/>
      <c r="D98" s="433"/>
      <c r="E98" s="439" t="s">
        <v>288</v>
      </c>
      <c r="F98" s="433"/>
      <c r="G98" s="433"/>
      <c r="H98" s="433"/>
      <c r="I98" s="433"/>
      <c r="J98" s="433"/>
      <c r="K98" s="433"/>
      <c r="L98" s="433"/>
      <c r="M98" s="434"/>
      <c r="N98" s="434"/>
      <c r="O98" s="434"/>
      <c r="P98" s="434"/>
      <c r="Q98" s="434"/>
      <c r="R98" s="434"/>
      <c r="S98" s="434"/>
      <c r="T98" s="434"/>
      <c r="U98" s="434"/>
      <c r="V98" s="433"/>
      <c r="W98" s="433"/>
      <c r="X98" s="433"/>
      <c r="Y98" s="433"/>
      <c r="Z98" s="433"/>
      <c r="AA98" s="433"/>
      <c r="AB98" s="440"/>
    </row>
    <row r="99" spans="1:29">
      <c r="B99" s="438"/>
      <c r="C99" s="433"/>
      <c r="D99" s="433"/>
      <c r="E99" s="439" t="s">
        <v>289</v>
      </c>
      <c r="F99" s="433"/>
      <c r="G99" s="433"/>
      <c r="H99" s="433"/>
      <c r="I99" s="433"/>
      <c r="J99" s="433"/>
      <c r="K99" s="433"/>
      <c r="L99" s="433"/>
      <c r="M99" s="434"/>
      <c r="N99" s="434"/>
      <c r="O99" s="434"/>
      <c r="P99" s="434"/>
      <c r="Q99" s="434"/>
      <c r="R99" s="434"/>
      <c r="S99" s="434"/>
      <c r="T99" s="434"/>
      <c r="U99" s="434"/>
      <c r="V99" s="433"/>
      <c r="W99" s="433"/>
      <c r="X99" s="433"/>
      <c r="Y99" s="433"/>
      <c r="Z99" s="433"/>
      <c r="AA99" s="433"/>
      <c r="AB99" s="440"/>
    </row>
    <row r="100" spans="1:29">
      <c r="B100" s="438"/>
      <c r="C100" s="433"/>
      <c r="D100" s="433"/>
      <c r="E100" s="439" t="s">
        <v>290</v>
      </c>
      <c r="F100" s="433"/>
      <c r="G100" s="433"/>
      <c r="H100" s="433"/>
      <c r="I100" s="433"/>
      <c r="J100" s="433"/>
      <c r="K100" s="434"/>
      <c r="L100" s="434"/>
      <c r="M100" s="434"/>
      <c r="N100" s="434"/>
      <c r="O100" s="434"/>
      <c r="P100" s="434"/>
      <c r="Q100" s="434"/>
      <c r="R100" s="434"/>
      <c r="S100" s="434"/>
      <c r="T100" s="434"/>
      <c r="U100" s="434"/>
      <c r="V100" s="433"/>
      <c r="W100" s="433"/>
      <c r="X100" s="433"/>
      <c r="Y100" s="433"/>
      <c r="Z100" s="433"/>
      <c r="AA100" s="433"/>
      <c r="AB100" s="440"/>
    </row>
    <row r="101" spans="1:29" s="669" customFormat="1">
      <c r="B101" s="438"/>
      <c r="C101" s="433"/>
      <c r="D101" s="433"/>
      <c r="E101" s="439" t="s">
        <v>291</v>
      </c>
      <c r="F101" s="433"/>
      <c r="G101" s="433"/>
      <c r="H101" s="433"/>
      <c r="I101" s="433"/>
      <c r="J101" s="433"/>
      <c r="K101" s="434"/>
      <c r="L101" s="434"/>
      <c r="M101" s="434"/>
      <c r="N101" s="434"/>
      <c r="O101" s="434"/>
      <c r="P101" s="434"/>
      <c r="Q101" s="434"/>
      <c r="R101" s="434"/>
      <c r="S101" s="434"/>
      <c r="T101" s="434"/>
      <c r="U101" s="434"/>
      <c r="V101" s="433"/>
      <c r="W101" s="433"/>
      <c r="X101" s="433"/>
      <c r="Y101" s="433"/>
      <c r="Z101" s="433"/>
      <c r="AA101" s="433"/>
      <c r="AB101" s="440"/>
    </row>
    <row r="102" spans="1:29">
      <c r="A102" s="669"/>
      <c r="B102" s="438"/>
      <c r="C102" s="433"/>
      <c r="D102" s="433"/>
      <c r="E102" s="439" t="s">
        <v>292</v>
      </c>
      <c r="F102" s="433"/>
      <c r="G102" s="433"/>
      <c r="H102" s="433"/>
      <c r="I102" s="433"/>
      <c r="J102" s="433"/>
      <c r="K102" s="434"/>
      <c r="L102" s="434"/>
      <c r="M102" s="434"/>
      <c r="N102" s="434"/>
      <c r="O102" s="434"/>
      <c r="P102" s="434"/>
      <c r="Q102" s="434"/>
      <c r="R102" s="434"/>
      <c r="S102" s="434"/>
      <c r="T102" s="434"/>
      <c r="U102" s="434"/>
      <c r="V102" s="433"/>
      <c r="W102" s="433"/>
      <c r="X102" s="433"/>
      <c r="Y102" s="433"/>
      <c r="Z102" s="433"/>
      <c r="AA102" s="433"/>
      <c r="AB102" s="440"/>
      <c r="AC102" s="669"/>
    </row>
    <row r="103" spans="1:29">
      <c r="A103" s="669"/>
      <c r="B103" s="438"/>
      <c r="C103" s="433"/>
      <c r="D103" s="433"/>
      <c r="E103" s="439" t="s">
        <v>285</v>
      </c>
      <c r="F103" s="433"/>
      <c r="G103" s="433"/>
      <c r="H103" s="433"/>
      <c r="I103" s="433"/>
      <c r="J103" s="433"/>
      <c r="K103" s="434"/>
      <c r="L103" s="434"/>
      <c r="M103" s="434"/>
      <c r="N103" s="434"/>
      <c r="O103" s="434"/>
      <c r="P103" s="434"/>
      <c r="Q103" s="434"/>
      <c r="R103" s="434"/>
      <c r="S103" s="434"/>
      <c r="T103" s="434"/>
      <c r="U103" s="434"/>
      <c r="V103" s="433"/>
      <c r="W103" s="433"/>
      <c r="X103" s="433"/>
      <c r="Y103" s="433"/>
      <c r="Z103" s="433"/>
      <c r="AA103" s="433"/>
      <c r="AB103" s="440"/>
      <c r="AC103" s="669"/>
    </row>
    <row r="104" spans="1:29">
      <c r="A104" s="669"/>
      <c r="B104" s="438"/>
      <c r="C104" s="433"/>
      <c r="D104" s="433"/>
      <c r="E104" s="439" t="s">
        <v>474</v>
      </c>
      <c r="F104" s="433"/>
      <c r="G104" s="433"/>
      <c r="H104" s="433"/>
      <c r="I104" s="433"/>
      <c r="J104" s="433"/>
      <c r="K104" s="434"/>
      <c r="L104" s="434"/>
      <c r="M104" s="434"/>
      <c r="N104" s="434"/>
      <c r="O104" s="434"/>
      <c r="P104" s="434"/>
      <c r="Q104" s="434"/>
      <c r="R104" s="434"/>
      <c r="S104" s="434"/>
      <c r="T104" s="434"/>
      <c r="U104" s="434"/>
      <c r="V104" s="433"/>
      <c r="W104" s="433"/>
      <c r="X104" s="433"/>
      <c r="Y104" s="433"/>
      <c r="Z104" s="433"/>
      <c r="AA104" s="433"/>
      <c r="AB104" s="440"/>
      <c r="AC104" s="669"/>
    </row>
    <row r="105" spans="1:29">
      <c r="A105" s="669"/>
      <c r="B105" s="438"/>
      <c r="C105" s="433"/>
      <c r="D105" s="433"/>
      <c r="E105" s="439" t="s">
        <v>475</v>
      </c>
      <c r="F105" s="433"/>
      <c r="G105" s="433"/>
      <c r="H105" s="433"/>
      <c r="I105" s="433"/>
      <c r="J105" s="433"/>
      <c r="K105" s="434"/>
      <c r="L105" s="434"/>
      <c r="M105" s="434"/>
      <c r="N105" s="434"/>
      <c r="O105" s="434"/>
      <c r="P105" s="434"/>
      <c r="Q105" s="434"/>
      <c r="R105" s="434"/>
      <c r="S105" s="434"/>
      <c r="T105" s="434"/>
      <c r="U105" s="434"/>
      <c r="V105" s="433"/>
      <c r="W105" s="433"/>
      <c r="X105" s="433"/>
      <c r="Y105" s="433"/>
      <c r="Z105" s="433"/>
      <c r="AA105" s="433"/>
      <c r="AB105" s="440"/>
      <c r="AC105" s="669"/>
    </row>
    <row r="106" spans="1:29">
      <c r="A106" s="669"/>
      <c r="B106" s="438"/>
      <c r="C106" s="433"/>
      <c r="D106" s="433"/>
      <c r="E106" s="439" t="s">
        <v>473</v>
      </c>
      <c r="F106" s="433"/>
      <c r="G106" s="433"/>
      <c r="H106" s="433"/>
      <c r="I106" s="433"/>
      <c r="J106" s="433"/>
      <c r="K106" s="434"/>
      <c r="L106" s="434"/>
      <c r="M106" s="434"/>
      <c r="N106" s="434"/>
      <c r="O106" s="434"/>
      <c r="P106" s="434"/>
      <c r="Q106" s="434"/>
      <c r="R106" s="434"/>
      <c r="S106" s="434"/>
      <c r="T106" s="434"/>
      <c r="U106" s="434"/>
      <c r="V106" s="433"/>
      <c r="W106" s="433"/>
      <c r="X106" s="433"/>
      <c r="Y106" s="433"/>
      <c r="Z106" s="433"/>
      <c r="AA106" s="433"/>
      <c r="AB106" s="440"/>
      <c r="AC106" s="669"/>
    </row>
    <row r="107" spans="1:29">
      <c r="A107" s="669"/>
      <c r="B107" s="438"/>
      <c r="C107" s="433"/>
      <c r="D107" s="433"/>
      <c r="E107" s="439" t="s">
        <v>481</v>
      </c>
      <c r="F107" s="433"/>
      <c r="G107" s="433"/>
      <c r="H107" s="433"/>
      <c r="I107" s="433"/>
      <c r="J107" s="433"/>
      <c r="K107" s="434"/>
      <c r="L107" s="434"/>
      <c r="M107" s="434"/>
      <c r="N107" s="434"/>
      <c r="O107" s="434"/>
      <c r="P107" s="434"/>
      <c r="Q107" s="434"/>
      <c r="R107" s="434"/>
      <c r="S107" s="434"/>
      <c r="T107" s="434"/>
      <c r="U107" s="434"/>
      <c r="V107" s="433"/>
      <c r="W107" s="433"/>
      <c r="X107" s="433"/>
      <c r="Y107" s="433"/>
      <c r="Z107" s="433"/>
      <c r="AA107" s="433"/>
      <c r="AB107" s="440"/>
      <c r="AC107" s="669"/>
    </row>
    <row r="108" spans="1:29" ht="17" thickBot="1">
      <c r="B108" s="441"/>
      <c r="C108" s="442"/>
      <c r="D108" s="442"/>
      <c r="E108" s="443" t="s">
        <v>472</v>
      </c>
      <c r="F108" s="442"/>
      <c r="G108" s="442"/>
      <c r="H108" s="442"/>
      <c r="I108" s="442"/>
      <c r="J108" s="442"/>
      <c r="K108" s="444"/>
      <c r="L108" s="444"/>
      <c r="M108" s="444"/>
      <c r="N108" s="444"/>
      <c r="O108" s="444"/>
      <c r="P108" s="444"/>
      <c r="Q108" s="444"/>
      <c r="R108" s="444"/>
      <c r="S108" s="444"/>
      <c r="T108" s="444"/>
      <c r="U108" s="444"/>
      <c r="V108" s="442"/>
      <c r="W108" s="442"/>
      <c r="X108" s="442"/>
      <c r="Y108" s="442"/>
      <c r="Z108" s="442"/>
      <c r="AA108" s="442"/>
      <c r="AB108" s="445"/>
    </row>
    <row r="109" spans="1:29">
      <c r="C109" s="669"/>
      <c r="D109" s="669"/>
      <c r="E109" s="672"/>
      <c r="F109" s="669"/>
      <c r="G109" s="673"/>
      <c r="H109" s="669"/>
      <c r="I109" s="669"/>
      <c r="J109" s="669"/>
      <c r="K109" s="669"/>
      <c r="L109" s="669"/>
      <c r="M109" s="674"/>
      <c r="N109" s="669"/>
      <c r="O109" s="669"/>
      <c r="P109" s="669"/>
      <c r="Q109" s="669"/>
      <c r="R109" s="669"/>
      <c r="S109" s="669"/>
      <c r="T109" s="669"/>
      <c r="U109" s="669"/>
      <c r="V109" s="669"/>
      <c r="W109" s="669"/>
      <c r="X109" s="669"/>
      <c r="Y109" s="669"/>
      <c r="Z109" s="669"/>
      <c r="AA109" s="669"/>
      <c r="AB109" s="669"/>
    </row>
    <row r="110" spans="1:29">
      <c r="C110" s="669"/>
      <c r="D110" s="669"/>
      <c r="E110" s="672"/>
      <c r="F110" s="669"/>
      <c r="G110" s="673"/>
      <c r="H110" s="669"/>
      <c r="I110" s="669"/>
      <c r="J110" s="669"/>
      <c r="K110" s="669"/>
      <c r="T110" s="452">
        <f>IF(AND($Q$24="Cost-Based",$Q$25="ITC"),1,0)</f>
        <v>1</v>
      </c>
      <c r="U110" s="669"/>
      <c r="V110" s="669"/>
      <c r="W110" s="669"/>
      <c r="X110" s="669"/>
      <c r="Y110" s="669"/>
      <c r="Z110" s="669"/>
      <c r="AA110" s="669"/>
      <c r="AB110" s="669"/>
    </row>
    <row r="111" spans="1:29">
      <c r="C111" s="669"/>
      <c r="D111" s="669"/>
      <c r="E111" s="672"/>
      <c r="F111" s="669"/>
      <c r="G111" s="673"/>
      <c r="H111" s="669"/>
      <c r="I111" s="669"/>
      <c r="J111" s="669"/>
      <c r="K111" s="669"/>
      <c r="T111" s="17"/>
      <c r="U111" s="669"/>
      <c r="V111" s="669"/>
      <c r="W111" s="669"/>
      <c r="X111" s="669"/>
      <c r="Y111" s="669"/>
      <c r="Z111" s="669"/>
      <c r="AA111" s="669"/>
      <c r="AB111" s="669"/>
    </row>
    <row r="112" spans="1:29">
      <c r="C112" s="669"/>
      <c r="D112" s="669"/>
      <c r="E112" s="669"/>
      <c r="F112" s="669"/>
      <c r="G112" s="669"/>
      <c r="H112" s="669"/>
      <c r="I112" s="669"/>
      <c r="J112" s="669"/>
      <c r="K112" s="669"/>
      <c r="T112" s="17"/>
      <c r="U112" s="669"/>
      <c r="V112" s="669"/>
      <c r="W112" s="669"/>
      <c r="X112" s="669"/>
      <c r="Y112" s="669"/>
      <c r="Z112" s="669"/>
      <c r="AA112" s="669"/>
      <c r="AB112" s="669"/>
    </row>
    <row r="113" spans="20:20">
      <c r="T113" s="24"/>
    </row>
  </sheetData>
  <protectedRanges>
    <protectedRange sqref="Q50 Q9:Q10 Q7" name="Column Q Inputs"/>
    <protectedRange sqref="P80:P81 P84:Z89" name="Depreciation Inputs"/>
    <protectedRange sqref="Q43:Q46 Q67:Q68 Q72 Q75 Q55:Q62 Q38:Q39 Q41 Q48:Q52" name="Column Q Inputs 2"/>
    <protectedRange sqref="G12 G14:G15 G22:G27 G34:G40 G52:G53 G64 G68 G70 G79:G83 G57:G61 G17:G19 G7:G10 G42:G44 G45:G48" name="Column G Inputs"/>
    <protectedRange sqref="Q13:Q15 Q18:Q20 Q29:Q30 Q24:Q26 Q32:Q35" name="Column Q Inputs 1"/>
  </protectedRanges>
  <mergeCells count="10">
    <mergeCell ref="R87:T87"/>
    <mergeCell ref="R88:T88"/>
    <mergeCell ref="R89:T89"/>
    <mergeCell ref="R90:T90"/>
    <mergeCell ref="C2:T2"/>
    <mergeCell ref="R83:T83"/>
    <mergeCell ref="R84:T84"/>
    <mergeCell ref="R85:T85"/>
    <mergeCell ref="R86:T86"/>
    <mergeCell ref="O4:P4"/>
  </mergeCells>
  <conditionalFormatting sqref="C22">
    <cfRule type="expression" dxfId="143" priority="637">
      <formula>$G$22&lt;&gt;""</formula>
    </cfRule>
  </conditionalFormatting>
  <conditionalFormatting sqref="C35">
    <cfRule type="expression" dxfId="142" priority="631">
      <formula>$G$35&gt;=0</formula>
    </cfRule>
  </conditionalFormatting>
  <conditionalFormatting sqref="C23">
    <cfRule type="expression" dxfId="141" priority="458">
      <formula>AND($G$22="Simple",$G$23&gt;0)</formula>
    </cfRule>
    <cfRule type="expression" dxfId="140" priority="628">
      <formula>AND($G$22="Simple",$G$23&lt;=0)</formula>
    </cfRule>
  </conditionalFormatting>
  <conditionalFormatting sqref="C24">
    <cfRule type="expression" dxfId="139" priority="457">
      <formula>AND($G$22="Intermediate",$G$24&gt;0)</formula>
    </cfRule>
    <cfRule type="expression" dxfId="138" priority="627">
      <formula>AND($G$22="Intermediate",$G$24&lt;=0)</formula>
    </cfRule>
  </conditionalFormatting>
  <conditionalFormatting sqref="C80">
    <cfRule type="expression" dxfId="137" priority="211">
      <formula>$G$79="No"</formula>
    </cfRule>
    <cfRule type="expression" dxfId="136" priority="212">
      <formula>$D$80=1</formula>
    </cfRule>
  </conditionalFormatting>
  <conditionalFormatting sqref="C68">
    <cfRule type="expression" dxfId="135" priority="449">
      <formula>$D$68=1</formula>
    </cfRule>
  </conditionalFormatting>
  <conditionalFormatting sqref="L34 G29:H29 K30">
    <cfRule type="expression" dxfId="134" priority="791">
      <formula>$G$22="Complex"</formula>
    </cfRule>
  </conditionalFormatting>
  <conditionalFormatting sqref="C57">
    <cfRule type="expression" dxfId="133" priority="451">
      <formula>$D$57=1</formula>
    </cfRule>
  </conditionalFormatting>
  <conditionalFormatting sqref="G18 E9:I9 E7:E8 F8 G7:G8">
    <cfRule type="expression" dxfId="132" priority="479">
      <formula>#REF!="Solar Thermal Electric"</formula>
    </cfRule>
  </conditionalFormatting>
  <conditionalFormatting sqref="M15">
    <cfRule type="expression" dxfId="131" priority="474">
      <formula>$Q$15&lt;&gt;""</formula>
    </cfRule>
  </conditionalFormatting>
  <conditionalFormatting sqref="M14">
    <cfRule type="expression" dxfId="130" priority="473">
      <formula>$Q$14&lt;&gt;""</formula>
    </cfRule>
  </conditionalFormatting>
  <conditionalFormatting sqref="Q63 E46:G46 E47:H49 E45:H45 E40:H42 E43:G44">
    <cfRule type="expression" dxfId="129" priority="469">
      <formula>$G$34="Simple"</formula>
    </cfRule>
  </conditionalFormatting>
  <conditionalFormatting sqref="C29">
    <cfRule type="expression" dxfId="128" priority="455">
      <formula>AND($G$22="Complex",$G$29&gt;0)</formula>
    </cfRule>
    <cfRule type="expression" dxfId="127" priority="456">
      <formula>$G$22="Complex"</formula>
    </cfRule>
  </conditionalFormatting>
  <conditionalFormatting sqref="C37">
    <cfRule type="expression" dxfId="126" priority="454">
      <formula>$G$37&gt;0</formula>
    </cfRule>
  </conditionalFormatting>
  <conditionalFormatting sqref="C38">
    <cfRule type="expression" dxfId="125" priority="453">
      <formula>AND($G$38&gt;0,$G$38&lt;=$G$19)</formula>
    </cfRule>
  </conditionalFormatting>
  <conditionalFormatting sqref="C39">
    <cfRule type="expression" dxfId="124" priority="452">
      <formula>$G$39&gt;0</formula>
    </cfRule>
  </conditionalFormatting>
  <conditionalFormatting sqref="G63">
    <cfRule type="expression" dxfId="123" priority="436">
      <formula>$G$63="Fail"</formula>
    </cfRule>
  </conditionalFormatting>
  <conditionalFormatting sqref="O68:Q68 S68">
    <cfRule type="expression" dxfId="122" priority="431">
      <formula>$Q$67="Salvage"</formula>
    </cfRule>
  </conditionalFormatting>
  <conditionalFormatting sqref="E52:G54">
    <cfRule type="expression" dxfId="121" priority="409">
      <formula>$G$22="Simple"</formula>
    </cfRule>
  </conditionalFormatting>
  <conditionalFormatting sqref="G66">
    <cfRule type="expression" dxfId="120" priority="377">
      <formula>$G$66="Fail"</formula>
    </cfRule>
  </conditionalFormatting>
  <conditionalFormatting sqref="G23">
    <cfRule type="expression" dxfId="119" priority="341">
      <formula>$G$22="Simple"</formula>
    </cfRule>
  </conditionalFormatting>
  <conditionalFormatting sqref="G28 E24:F28">
    <cfRule type="expression" dxfId="118" priority="340">
      <formula>$G$22="Intermediate"</formula>
    </cfRule>
  </conditionalFormatting>
  <conditionalFormatting sqref="G24 G26:G27">
    <cfRule type="expression" dxfId="117" priority="329">
      <formula>$G$22="Intermediate"</formula>
    </cfRule>
  </conditionalFormatting>
  <conditionalFormatting sqref="G25">
    <cfRule type="expression" dxfId="116" priority="327">
      <formula>$G$22="Intermediate"</formula>
    </cfRule>
    <cfRule type="expression" dxfId="115" priority="328">
      <formula>$G$22="Intermediate"</formula>
    </cfRule>
  </conditionalFormatting>
  <conditionalFormatting sqref="E58:G66 I58:I66">
    <cfRule type="expression" dxfId="114" priority="323">
      <formula>$G$57=0</formula>
    </cfRule>
  </conditionalFormatting>
  <conditionalFormatting sqref="O19:P19">
    <cfRule type="expression" dxfId="113" priority="316">
      <formula>$T$19=1</formula>
    </cfRule>
  </conditionalFormatting>
  <conditionalFormatting sqref="O20:P20">
    <cfRule type="expression" dxfId="112" priority="315">
      <formula>$T$20=1</formula>
    </cfRule>
  </conditionalFormatting>
  <conditionalFormatting sqref="O21">
    <cfRule type="expression" dxfId="111" priority="314">
      <formula>$T$21=1</formula>
    </cfRule>
  </conditionalFormatting>
  <conditionalFormatting sqref="Q19">
    <cfRule type="expression" dxfId="110" priority="311">
      <formula>$T$19=1</formula>
    </cfRule>
  </conditionalFormatting>
  <conditionalFormatting sqref="Q20">
    <cfRule type="expression" dxfId="109" priority="310">
      <formula>$T$20=1</formula>
    </cfRule>
  </conditionalFormatting>
  <conditionalFormatting sqref="P21:Q21">
    <cfRule type="expression" dxfId="108" priority="309">
      <formula>$T$21=1</formula>
    </cfRule>
  </conditionalFormatting>
  <conditionalFormatting sqref="O18:P18">
    <cfRule type="expression" dxfId="107" priority="307">
      <formula>$T$18=1</formula>
    </cfRule>
  </conditionalFormatting>
  <conditionalFormatting sqref="Q18">
    <cfRule type="expression" dxfId="106" priority="306">
      <formula>$T$18=1</formula>
    </cfRule>
  </conditionalFormatting>
  <conditionalFormatting sqref="S32:S33 O32:Q33 S29:S30 O29:Q30">
    <cfRule type="expression" dxfId="105" priority="293">
      <formula>$R$24=1</formula>
    </cfRule>
  </conditionalFormatting>
  <conditionalFormatting sqref="I23">
    <cfRule type="expression" dxfId="104" priority="282">
      <formula>$G$22="Simple"</formula>
    </cfRule>
  </conditionalFormatting>
  <conditionalFormatting sqref="I29">
    <cfRule type="expression" dxfId="103" priority="281">
      <formula>$G$22="Complex"</formula>
    </cfRule>
  </conditionalFormatting>
  <conditionalFormatting sqref="I24:I28">
    <cfRule type="expression" dxfId="102" priority="280">
      <formula>$G$22="Intermediate"</formula>
    </cfRule>
  </conditionalFormatting>
  <conditionalFormatting sqref="I40:I49">
    <cfRule type="expression" dxfId="101" priority="279">
      <formula>$G$34="Intermediate"</formula>
    </cfRule>
  </conditionalFormatting>
  <conditionalFormatting sqref="E23:F23">
    <cfRule type="expression" dxfId="100" priority="273">
      <formula>$G$22="Simple"</formula>
    </cfRule>
  </conditionalFormatting>
  <conditionalFormatting sqref="F29">
    <cfRule type="expression" dxfId="99" priority="270">
      <formula>$G$22="Complex"</formula>
    </cfRule>
  </conditionalFormatting>
  <conditionalFormatting sqref="E29">
    <cfRule type="expression" dxfId="98" priority="269">
      <formula>$G$22="Complex"</formula>
    </cfRule>
  </conditionalFormatting>
  <conditionalFormatting sqref="S18">
    <cfRule type="expression" dxfId="97" priority="258">
      <formula>$T$18=1</formula>
    </cfRule>
  </conditionalFormatting>
  <conditionalFormatting sqref="S19">
    <cfRule type="expression" dxfId="96" priority="257">
      <formula>$T$19=1</formula>
    </cfRule>
  </conditionalFormatting>
  <conditionalFormatting sqref="S20">
    <cfRule type="expression" dxfId="95" priority="256">
      <formula>$T$20=1</formula>
    </cfRule>
  </conditionalFormatting>
  <conditionalFormatting sqref="S21">
    <cfRule type="expression" dxfId="94" priority="255">
      <formula>$T$21=1</formula>
    </cfRule>
  </conditionalFormatting>
  <conditionalFormatting sqref="C63">
    <cfRule type="expression" dxfId="93" priority="254">
      <formula>$G$63="Fail"</formula>
    </cfRule>
  </conditionalFormatting>
  <conditionalFormatting sqref="C66">
    <cfRule type="expression" dxfId="92" priority="253">
      <formula>$G$66="Fail"</formula>
    </cfRule>
  </conditionalFormatting>
  <conditionalFormatting sqref="E69:G69">
    <cfRule type="expression" dxfId="91" priority="252">
      <formula>$G$57=0%</formula>
    </cfRule>
  </conditionalFormatting>
  <conditionalFormatting sqref="C17:C18">
    <cfRule type="expression" dxfId="90" priority="247">
      <formula>$D$17=1</formula>
    </cfRule>
  </conditionalFormatting>
  <conditionalFormatting sqref="M13">
    <cfRule type="expression" dxfId="89" priority="246">
      <formula>$N$13=1</formula>
    </cfRule>
  </conditionalFormatting>
  <conditionalFormatting sqref="C9">
    <cfRule type="expression" dxfId="88" priority="244">
      <formula>$G$9&gt;0</formula>
    </cfRule>
  </conditionalFormatting>
  <conditionalFormatting sqref="C34">
    <cfRule type="expression" dxfId="87" priority="237">
      <formula>$G$34&lt;&gt;""</formula>
    </cfRule>
  </conditionalFormatting>
  <conditionalFormatting sqref="C52">
    <cfRule type="expression" dxfId="86" priority="218">
      <formula>$G$22="Simple"</formula>
    </cfRule>
    <cfRule type="expression" dxfId="85" priority="236">
      <formula>$G$52&lt;=0</formula>
    </cfRule>
  </conditionalFormatting>
  <conditionalFormatting sqref="C53">
    <cfRule type="expression" dxfId="84" priority="217">
      <formula>$G$22="Simple"</formula>
    </cfRule>
    <cfRule type="expression" dxfId="83" priority="233">
      <formula>AND($G$22="Intermediate",$G$53&gt;=0)</formula>
    </cfRule>
  </conditionalFormatting>
  <conditionalFormatting sqref="C58">
    <cfRule type="expression" dxfId="82" priority="216">
      <formula>$G$57=0</formula>
    </cfRule>
    <cfRule type="expression" dxfId="81" priority="232">
      <formula>$D$58=1</formula>
    </cfRule>
  </conditionalFormatting>
  <conditionalFormatting sqref="C59">
    <cfRule type="expression" dxfId="80" priority="229">
      <formula>$D$59=1</formula>
    </cfRule>
  </conditionalFormatting>
  <conditionalFormatting sqref="C61">
    <cfRule type="expression" dxfId="79" priority="228">
      <formula>$G$61&lt;1</formula>
    </cfRule>
  </conditionalFormatting>
  <conditionalFormatting sqref="C64">
    <cfRule type="expression" dxfId="78" priority="227">
      <formula>$G$64&lt;1</formula>
    </cfRule>
  </conditionalFormatting>
  <conditionalFormatting sqref="C60">
    <cfRule type="expression" dxfId="77" priority="226">
      <formula>$D$60=1</formula>
    </cfRule>
  </conditionalFormatting>
  <conditionalFormatting sqref="C63:C64 C66 C58:C61">
    <cfRule type="expression" dxfId="76" priority="215">
      <formula>$G$57=0</formula>
    </cfRule>
  </conditionalFormatting>
  <conditionalFormatting sqref="C70">
    <cfRule type="expression" dxfId="75" priority="214">
      <formula>$G$70&lt;0</formula>
    </cfRule>
  </conditionalFormatting>
  <conditionalFormatting sqref="C79">
    <cfRule type="expression" dxfId="74" priority="213">
      <formula>$G$79=""</formula>
    </cfRule>
  </conditionalFormatting>
  <conditionalFormatting sqref="C82">
    <cfRule type="expression" dxfId="73" priority="204">
      <formula>$G$79="No"</formula>
    </cfRule>
    <cfRule type="expression" dxfId="72" priority="205">
      <formula>$D$82=1</formula>
    </cfRule>
  </conditionalFormatting>
  <conditionalFormatting sqref="C81">
    <cfRule type="expression" dxfId="71" priority="203">
      <formula>$G$81=""</formula>
    </cfRule>
  </conditionalFormatting>
  <conditionalFormatting sqref="C83">
    <cfRule type="expression" dxfId="70" priority="202">
      <formula>$G$83=""</formula>
    </cfRule>
  </conditionalFormatting>
  <conditionalFormatting sqref="M18">
    <cfRule type="expression" dxfId="69" priority="200">
      <formula>$Q$18=""</formula>
    </cfRule>
  </conditionalFormatting>
  <conditionalFormatting sqref="M19">
    <cfRule type="expression" dxfId="68" priority="199">
      <formula>$N$19=1</formula>
    </cfRule>
  </conditionalFormatting>
  <conditionalFormatting sqref="M20">
    <cfRule type="expression" dxfId="67" priority="198">
      <formula>$N$20=1</formula>
    </cfRule>
  </conditionalFormatting>
  <conditionalFormatting sqref="M24">
    <cfRule type="expression" dxfId="66" priority="197">
      <formula>$Q$24=""</formula>
    </cfRule>
  </conditionalFormatting>
  <conditionalFormatting sqref="M25">
    <cfRule type="expression" dxfId="65" priority="196">
      <formula>$Q$25=""</formula>
    </cfRule>
  </conditionalFormatting>
  <conditionalFormatting sqref="M29">
    <cfRule type="expression" dxfId="64" priority="195">
      <formula>$Q$29=""</formula>
    </cfRule>
  </conditionalFormatting>
  <conditionalFormatting sqref="M26 M67 M52 M61 M55 M57 M59 M35 M38:M39 M43">
    <cfRule type="expression" dxfId="63" priority="194">
      <formula>$N26=1</formula>
    </cfRule>
  </conditionalFormatting>
  <conditionalFormatting sqref="M30">
    <cfRule type="expression" dxfId="62" priority="186">
      <formula>$Q$30&lt;0</formula>
    </cfRule>
  </conditionalFormatting>
  <conditionalFormatting sqref="M32">
    <cfRule type="expression" dxfId="61" priority="185">
      <formula>$N$32=1</formula>
    </cfRule>
  </conditionalFormatting>
  <conditionalFormatting sqref="M33">
    <cfRule type="expression" dxfId="60" priority="184">
      <formula>$Q$33=""</formula>
    </cfRule>
  </conditionalFormatting>
  <conditionalFormatting sqref="M72 M75 M50 M34">
    <cfRule type="expression" dxfId="59" priority="182">
      <formula>$Q34&lt;0</formula>
    </cfRule>
  </conditionalFormatting>
  <conditionalFormatting sqref="M41">
    <cfRule type="expression" dxfId="58" priority="178">
      <formula>$N$41=1</formula>
    </cfRule>
  </conditionalFormatting>
  <conditionalFormatting sqref="M46">
    <cfRule type="expression" dxfId="57" priority="177">
      <formula>$Q$46&lt;0</formula>
    </cfRule>
  </conditionalFormatting>
  <conditionalFormatting sqref="M48">
    <cfRule type="expression" dxfId="56" priority="176">
      <formula>$N$48=1</formula>
    </cfRule>
  </conditionalFormatting>
  <conditionalFormatting sqref="M49">
    <cfRule type="expression" dxfId="55" priority="175">
      <formula>$Q$49=""</formula>
    </cfRule>
  </conditionalFormatting>
  <conditionalFormatting sqref="M56 M58 M60 M62">
    <cfRule type="expression" dxfId="54" priority="171">
      <formula>$Q56&gt;=0</formula>
    </cfRule>
  </conditionalFormatting>
  <conditionalFormatting sqref="M68">
    <cfRule type="expression" dxfId="53" priority="159">
      <formula>$Q$67="Salvage"</formula>
    </cfRule>
    <cfRule type="expression" dxfId="52" priority="169">
      <formula>$Q$68&lt;0</formula>
    </cfRule>
  </conditionalFormatting>
  <conditionalFormatting sqref="M77">
    <cfRule type="expression" dxfId="51" priority="166">
      <formula>$Q$77&lt;0</formula>
    </cfRule>
  </conditionalFormatting>
  <conditionalFormatting sqref="M25:M26">
    <cfRule type="expression" dxfId="50" priority="165">
      <formula>$Q$24="Performance-Based"</formula>
    </cfRule>
  </conditionalFormatting>
  <conditionalFormatting sqref="M32:M33 M29:M30">
    <cfRule type="expression" dxfId="49" priority="163">
      <formula>$Q$24="Cost-Based"</formula>
    </cfRule>
  </conditionalFormatting>
  <conditionalFormatting sqref="M43 M48:M49 M46">
    <cfRule type="expression" dxfId="48" priority="160">
      <formula>$R$43=1</formula>
    </cfRule>
  </conditionalFormatting>
  <conditionalFormatting sqref="M84">
    <cfRule type="expression" dxfId="47" priority="155">
      <formula>$N$84=2</formula>
    </cfRule>
    <cfRule type="expression" dxfId="46" priority="156">
      <formula>$N$84=1</formula>
    </cfRule>
  </conditionalFormatting>
  <conditionalFormatting sqref="M85:M89">
    <cfRule type="expression" dxfId="45" priority="151">
      <formula>$N85=2</formula>
    </cfRule>
    <cfRule type="expression" dxfId="44" priority="152">
      <formula>$N85=1</formula>
    </cfRule>
  </conditionalFormatting>
  <conditionalFormatting sqref="O84:R89 AB84:AB90 U84:Z89">
    <cfRule type="expression" dxfId="43" priority="150">
      <formula>$L84=0</formula>
    </cfRule>
  </conditionalFormatting>
  <conditionalFormatting sqref="O90:R90 U90:Z90">
    <cfRule type="expression" dxfId="42" priority="145">
      <formula>$L$90=0</formula>
    </cfRule>
  </conditionalFormatting>
  <conditionalFormatting sqref="C25:C27">
    <cfRule type="expression" dxfId="41" priority="143">
      <formula>$G25&lt;0</formula>
    </cfRule>
  </conditionalFormatting>
  <conditionalFormatting sqref="C40 C42:C48">
    <cfRule type="expression" dxfId="40" priority="140">
      <formula>$G$34="Simple"</formula>
    </cfRule>
  </conditionalFormatting>
  <conditionalFormatting sqref="C40 C42:C43 C47:C48 C45">
    <cfRule type="expression" dxfId="39" priority="137">
      <formula>$G40&lt;0</formula>
    </cfRule>
    <cfRule type="expression" dxfId="38" priority="138">
      <formula>$G40&lt;0</formula>
    </cfRule>
  </conditionalFormatting>
  <conditionalFormatting sqref="C46 C44">
    <cfRule type="expression" dxfId="37" priority="126">
      <formula>$G$46=""</formula>
    </cfRule>
  </conditionalFormatting>
  <conditionalFormatting sqref="C36">
    <cfRule type="expression" dxfId="36" priority="125">
      <formula>$G$36&lt;0</formula>
    </cfRule>
  </conditionalFormatting>
  <conditionalFormatting sqref="C19">
    <cfRule type="expression" dxfId="35" priority="124">
      <formula>$D$19=1</formula>
    </cfRule>
  </conditionalFormatting>
  <conditionalFormatting sqref="I63 I66">
    <cfRule type="expression" dxfId="34" priority="112">
      <formula>$G63="Fail"</formula>
    </cfRule>
  </conditionalFormatting>
  <conditionalFormatting sqref="E63">
    <cfRule type="expression" dxfId="33" priority="107">
      <formula>$G$63="Fail"</formula>
    </cfRule>
  </conditionalFormatting>
  <conditionalFormatting sqref="E66">
    <cfRule type="expression" dxfId="32" priority="106">
      <formula>$G$66="Fail"</formula>
    </cfRule>
  </conditionalFormatting>
  <conditionalFormatting sqref="S43:S44 O48:Q49 O46:Q46 O43:Q44 S48:S49 S46">
    <cfRule type="expression" dxfId="31" priority="104">
      <formula>$R$43=1</formula>
    </cfRule>
  </conditionalFormatting>
  <conditionalFormatting sqref="O45:Q45 S45">
    <cfRule type="expression" dxfId="30" priority="2760">
      <formula>$R$45=1</formula>
    </cfRule>
  </conditionalFormatting>
  <conditionalFormatting sqref="E80:G85 I80:I85">
    <cfRule type="expression" dxfId="29" priority="2843">
      <formula>$G$79="No"</formula>
    </cfRule>
  </conditionalFormatting>
  <conditionalFormatting sqref="M81">
    <cfRule type="expression" dxfId="28" priority="93">
      <formula>$P$80="No"</formula>
    </cfRule>
    <cfRule type="expression" dxfId="27" priority="94">
      <formula>$P$81&lt;0</formula>
    </cfRule>
  </conditionalFormatting>
  <conditionalFormatting sqref="O81:P81">
    <cfRule type="expression" dxfId="26" priority="92">
      <formula>$P$80="No"</formula>
    </cfRule>
  </conditionalFormatting>
  <conditionalFormatting sqref="S81">
    <cfRule type="expression" dxfId="25" priority="91">
      <formula>$P$81="No"</formula>
    </cfRule>
  </conditionalFormatting>
  <conditionalFormatting sqref="M80">
    <cfRule type="expression" dxfId="24" priority="90">
      <formula>$P$80=""</formula>
    </cfRule>
  </conditionalFormatting>
  <conditionalFormatting sqref="O44:Q44 S44">
    <cfRule type="expression" dxfId="23" priority="82">
      <formula>$R$44=1</formula>
    </cfRule>
  </conditionalFormatting>
  <conditionalFormatting sqref="O44:Q44">
    <cfRule type="expression" dxfId="22" priority="81">
      <formula>$Q$44="No"</formula>
    </cfRule>
  </conditionalFormatting>
  <conditionalFormatting sqref="C12">
    <cfRule type="expression" dxfId="21" priority="62">
      <formula>$G$12&gt;0</formula>
    </cfRule>
  </conditionalFormatting>
  <conditionalFormatting sqref="M18:M20">
    <cfRule type="expression" dxfId="20" priority="5672">
      <formula>$G$19=$Q$13</formula>
    </cfRule>
  </conditionalFormatting>
  <conditionalFormatting sqref="L29 K24">
    <cfRule type="expression" dxfId="19" priority="5673">
      <formula>$G$22="Simple"</formula>
    </cfRule>
  </conditionalFormatting>
  <conditionalFormatting sqref="L32:L33 L30 K25:K29">
    <cfRule type="expression" dxfId="18" priority="5675">
      <formula>$G$22="Intermediate"</formula>
    </cfRule>
  </conditionalFormatting>
  <conditionalFormatting sqref="O28:Q28 O25:Q26">
    <cfRule type="expression" dxfId="17" priority="5">
      <formula>$Q$24="Performance-Based"</formula>
    </cfRule>
  </conditionalFormatting>
  <conditionalFormatting sqref="M41 M39">
    <cfRule type="expression" dxfId="16" priority="5922">
      <formula>$R$39=1</formula>
    </cfRule>
  </conditionalFormatting>
  <conditionalFormatting sqref="S41:S42 O41:Q42 S39 O39:Q39">
    <cfRule type="expression" dxfId="15" priority="5938">
      <formula>$R$39=1</formula>
    </cfRule>
  </conditionalFormatting>
  <conditionalFormatting sqref="M45">
    <cfRule type="expression" dxfId="14" priority="6088">
      <formula>$Q$43="Tax Credit"</formula>
    </cfRule>
    <cfRule type="expression" dxfId="13" priority="6089">
      <formula>$Q45=""</formula>
    </cfRule>
  </conditionalFormatting>
  <conditionalFormatting sqref="O40:Q40">
    <cfRule type="expression" dxfId="12" priority="4">
      <formula>$R$39=1</formula>
    </cfRule>
  </conditionalFormatting>
  <conditionalFormatting sqref="O47:Q47">
    <cfRule type="expression" dxfId="11" priority="3">
      <formula>$R$43=1</formula>
    </cfRule>
  </conditionalFormatting>
  <conditionalFormatting sqref="O31:Q31">
    <cfRule type="expression" dxfId="10" priority="2">
      <formula>$R$24=1</formula>
    </cfRule>
  </conditionalFormatting>
  <conditionalFormatting sqref="O27:Q27">
    <cfRule type="expression" dxfId="9" priority="1">
      <formula>$Q$24="Performance-Based"</formula>
    </cfRule>
  </conditionalFormatting>
  <dataValidations count="13">
    <dataValidation type="decimal" errorStyle="warning" operator="greaterThanOrEqual" allowBlank="1" showInputMessage="1" showErrorMessage="1" errorTitle="Project Fails to Meet DSCR" error="This project's cash flow is insufficient to support the amount of user-defined debt, and fails to meet the lender's requirements.    _x000a_Please read the note field(s) highlighted in yellow for options to cure this deficiency._x000a_" sqref="G65" xr:uid="{00000000-0002-0000-0100-000000000000}">
      <formula1>G64</formula1>
    </dataValidation>
    <dataValidation type="list" allowBlank="1" showInputMessage="1" showErrorMessage="1" sqref="Q45 Q35 G79 Q52 P80" xr:uid="{00000000-0002-0000-0100-000001000000}">
      <formula1>"Yes, No"</formula1>
    </dataValidation>
    <dataValidation type="list" allowBlank="1" showInputMessage="1" showErrorMessage="1" sqref="Q43 Q29" xr:uid="{00000000-0002-0000-0100-000002000000}">
      <formula1>"Cash, Tax Credit"</formula1>
    </dataValidation>
    <dataValidation type="list" allowBlank="1" showInputMessage="1" showErrorMessage="1" sqref="Q38 Q24" xr:uid="{00000000-0002-0000-0100-000003000000}">
      <formula1>"Cost-Based, Performance-Based, Neither"</formula1>
    </dataValidation>
    <dataValidation type="list" allowBlank="1" showInputMessage="1" showErrorMessage="1" sqref="Q67" xr:uid="{00000000-0002-0000-0100-000004000000}">
      <formula1>"Operations, Salvage"</formula1>
    </dataValidation>
    <dataValidation type="list" allowBlank="1" showInputMessage="1" showErrorMessage="1" sqref="G81 G83" xr:uid="{00000000-0002-0000-0100-000005000000}">
      <formula1>"As Generated, Carried Forward"</formula1>
    </dataValidation>
    <dataValidation errorStyle="warning" allowBlank="1" showInputMessage="1" showErrorMessage="1" sqref="G63" xr:uid="{00000000-0002-0000-0100-000006000000}"/>
    <dataValidation errorStyle="warning" operator="equal" allowBlank="1" showInputMessage="1" showErrorMessage="1" errorTitle="Project Fails to Meet DSCR" error="This project's cash flow is insufficient to support the amount of user-defined debt, and fails to meet the lender's requirements.    _x000a_Please read the note field(s) highlighted in yellow for options to cure this deficiency._x000a__x000a_" sqref="H63 H66" xr:uid="{00000000-0002-0000-0100-000007000000}"/>
    <dataValidation errorStyle="warning" operator="greaterThanOrEqual" allowBlank="1" showInputMessage="1" showErrorMessage="1" errorTitle="test" error="test" sqref="G61" xr:uid="{00000000-0002-0000-0100-000008000000}"/>
    <dataValidation type="list" allowBlank="1" showInputMessage="1" showErrorMessage="1" sqref="G34" xr:uid="{00000000-0002-0000-0100-000009000000}">
      <formula1>"Simple, Intermediate"</formula1>
    </dataValidation>
    <dataValidation type="list" allowBlank="1" showInputMessage="1" showErrorMessage="1" sqref="G22" xr:uid="{00000000-0002-0000-0100-00000A000000}">
      <formula1>"Simple, Intermediate, Complex"</formula1>
    </dataValidation>
    <dataValidation type="list" allowBlank="1" showInputMessage="1" showErrorMessage="1" sqref="Q25" xr:uid="{00000000-0002-0000-0100-00000B000000}">
      <formula1>"ITC, Cash Grant"</formula1>
    </dataValidation>
    <dataValidation type="list" allowBlank="1" showInputMessage="1" showErrorMessage="1" sqref="Q18" xr:uid="{00000000-0002-0000-0100-00000C000000}">
      <formula1>"Year One, Year-by-Year"</formula1>
    </dataValidation>
  </dataValidations>
  <hyperlinks>
    <hyperlink ref="E29" location="'Complex Inputs'!A1" display="'Complex Inputs'!A1" xr:uid="{00000000-0004-0000-0100-000000000000}"/>
    <hyperlink ref="O21" location="'Complex Inputs'!A126" display="'Complex Inputs'!A126" xr:uid="{00000000-0004-0000-0100-000001000000}"/>
    <hyperlink ref="O90" location="'Complex Inputs'!A114" display="'Complex Inputs'!A114" xr:uid="{00000000-0004-0000-0100-000002000000}"/>
  </hyperlink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O75"/>
  <sheetViews>
    <sheetView showGridLines="0" zoomScale="70" zoomScaleNormal="70" workbookViewId="0">
      <pane xSplit="1" ySplit="2" topLeftCell="B3" activePane="bottomRight" state="frozen"/>
      <selection pane="topRight" activeCell="B1" sqref="B1"/>
      <selection pane="bottomLeft" activeCell="A3" sqref="A3"/>
      <selection pane="bottomRight" activeCell="D38" sqref="D38"/>
    </sheetView>
  </sheetViews>
  <sheetFormatPr baseColWidth="10" defaultColWidth="8.83203125" defaultRowHeight="14"/>
  <cols>
    <col min="1" max="1" width="2.5" style="160" customWidth="1"/>
    <col min="2" max="2" width="57.5" style="160" customWidth="1"/>
    <col min="3" max="3" width="15.5" style="160" customWidth="1"/>
    <col min="4" max="4" width="22.6640625" style="160" bestFit="1" customWidth="1"/>
    <col min="5" max="5" width="3.83203125" style="160" customWidth="1"/>
    <col min="6" max="15" width="26.33203125" style="160" bestFit="1" customWidth="1"/>
    <col min="16" max="243" width="9.1640625" style="160"/>
    <col min="244" max="244" width="21.5" style="160" customWidth="1"/>
    <col min="245" max="245" width="16.5" style="160" customWidth="1"/>
    <col min="246" max="246" width="18" style="160" customWidth="1"/>
    <col min="247" max="247" width="23.6640625" style="160" customWidth="1"/>
    <col min="248" max="248" width="26" style="160" customWidth="1"/>
    <col min="249" max="249" width="21.5" style="160" customWidth="1"/>
    <col min="250" max="250" width="20.83203125" style="160" customWidth="1"/>
    <col min="251" max="251" width="0" style="160" hidden="1" customWidth="1"/>
    <col min="252" max="499" width="9.1640625" style="160"/>
    <col min="500" max="500" width="21.5" style="160" customWidth="1"/>
    <col min="501" max="501" width="16.5" style="160" customWidth="1"/>
    <col min="502" max="502" width="18" style="160" customWidth="1"/>
    <col min="503" max="503" width="23.6640625" style="160" customWidth="1"/>
    <col min="504" max="504" width="26" style="160" customWidth="1"/>
    <col min="505" max="505" width="21.5" style="160" customWidth="1"/>
    <col min="506" max="506" width="20.83203125" style="160" customWidth="1"/>
    <col min="507" max="507" width="0" style="160" hidden="1" customWidth="1"/>
    <col min="508" max="755" width="9.1640625" style="160"/>
    <col min="756" max="756" width="21.5" style="160" customWidth="1"/>
    <col min="757" max="757" width="16.5" style="160" customWidth="1"/>
    <col min="758" max="758" width="18" style="160" customWidth="1"/>
    <col min="759" max="759" width="23.6640625" style="160" customWidth="1"/>
    <col min="760" max="760" width="26" style="160" customWidth="1"/>
    <col min="761" max="761" width="21.5" style="160" customWidth="1"/>
    <col min="762" max="762" width="20.83203125" style="160" customWidth="1"/>
    <col min="763" max="763" width="0" style="160" hidden="1" customWidth="1"/>
    <col min="764" max="1011" width="9.1640625" style="160"/>
    <col min="1012" max="1012" width="21.5" style="160" customWidth="1"/>
    <col min="1013" max="1013" width="16.5" style="160" customWidth="1"/>
    <col min="1014" max="1014" width="18" style="160" customWidth="1"/>
    <col min="1015" max="1015" width="23.6640625" style="160" customWidth="1"/>
    <col min="1016" max="1016" width="26" style="160" customWidth="1"/>
    <col min="1017" max="1017" width="21.5" style="160" customWidth="1"/>
    <col min="1018" max="1018" width="20.83203125" style="160" customWidth="1"/>
    <col min="1019" max="1019" width="0" style="160" hidden="1" customWidth="1"/>
    <col min="1020" max="1267" width="9.1640625" style="160"/>
    <col min="1268" max="1268" width="21.5" style="160" customWidth="1"/>
    <col min="1269" max="1269" width="16.5" style="160" customWidth="1"/>
    <col min="1270" max="1270" width="18" style="160" customWidth="1"/>
    <col min="1271" max="1271" width="23.6640625" style="160" customWidth="1"/>
    <col min="1272" max="1272" width="26" style="160" customWidth="1"/>
    <col min="1273" max="1273" width="21.5" style="160" customWidth="1"/>
    <col min="1274" max="1274" width="20.83203125" style="160" customWidth="1"/>
    <col min="1275" max="1275" width="0" style="160" hidden="1" customWidth="1"/>
    <col min="1276" max="1523" width="9.1640625" style="160"/>
    <col min="1524" max="1524" width="21.5" style="160" customWidth="1"/>
    <col min="1525" max="1525" width="16.5" style="160" customWidth="1"/>
    <col min="1526" max="1526" width="18" style="160" customWidth="1"/>
    <col min="1527" max="1527" width="23.6640625" style="160" customWidth="1"/>
    <col min="1528" max="1528" width="26" style="160" customWidth="1"/>
    <col min="1529" max="1529" width="21.5" style="160" customWidth="1"/>
    <col min="1530" max="1530" width="20.83203125" style="160" customWidth="1"/>
    <col min="1531" max="1531" width="0" style="160" hidden="1" customWidth="1"/>
    <col min="1532" max="1779" width="9.1640625" style="160"/>
    <col min="1780" max="1780" width="21.5" style="160" customWidth="1"/>
    <col min="1781" max="1781" width="16.5" style="160" customWidth="1"/>
    <col min="1782" max="1782" width="18" style="160" customWidth="1"/>
    <col min="1783" max="1783" width="23.6640625" style="160" customWidth="1"/>
    <col min="1784" max="1784" width="26" style="160" customWidth="1"/>
    <col min="1785" max="1785" width="21.5" style="160" customWidth="1"/>
    <col min="1786" max="1786" width="20.83203125" style="160" customWidth="1"/>
    <col min="1787" max="1787" width="0" style="160" hidden="1" customWidth="1"/>
    <col min="1788" max="2035" width="9.1640625" style="160"/>
    <col min="2036" max="2036" width="21.5" style="160" customWidth="1"/>
    <col min="2037" max="2037" width="16.5" style="160" customWidth="1"/>
    <col min="2038" max="2038" width="18" style="160" customWidth="1"/>
    <col min="2039" max="2039" width="23.6640625" style="160" customWidth="1"/>
    <col min="2040" max="2040" width="26" style="160" customWidth="1"/>
    <col min="2041" max="2041" width="21.5" style="160" customWidth="1"/>
    <col min="2042" max="2042" width="20.83203125" style="160" customWidth="1"/>
    <col min="2043" max="2043" width="0" style="160" hidden="1" customWidth="1"/>
    <col min="2044" max="2291" width="9.1640625" style="160"/>
    <col min="2292" max="2292" width="21.5" style="160" customWidth="1"/>
    <col min="2293" max="2293" width="16.5" style="160" customWidth="1"/>
    <col min="2294" max="2294" width="18" style="160" customWidth="1"/>
    <col min="2295" max="2295" width="23.6640625" style="160" customWidth="1"/>
    <col min="2296" max="2296" width="26" style="160" customWidth="1"/>
    <col min="2297" max="2297" width="21.5" style="160" customWidth="1"/>
    <col min="2298" max="2298" width="20.83203125" style="160" customWidth="1"/>
    <col min="2299" max="2299" width="0" style="160" hidden="1" customWidth="1"/>
    <col min="2300" max="2547" width="9.1640625" style="160"/>
    <col min="2548" max="2548" width="21.5" style="160" customWidth="1"/>
    <col min="2549" max="2549" width="16.5" style="160" customWidth="1"/>
    <col min="2550" max="2550" width="18" style="160" customWidth="1"/>
    <col min="2551" max="2551" width="23.6640625" style="160" customWidth="1"/>
    <col min="2552" max="2552" width="26" style="160" customWidth="1"/>
    <col min="2553" max="2553" width="21.5" style="160" customWidth="1"/>
    <col min="2554" max="2554" width="20.83203125" style="160" customWidth="1"/>
    <col min="2555" max="2555" width="0" style="160" hidden="1" customWidth="1"/>
    <col min="2556" max="2803" width="9.1640625" style="160"/>
    <col min="2804" max="2804" width="21.5" style="160" customWidth="1"/>
    <col min="2805" max="2805" width="16.5" style="160" customWidth="1"/>
    <col min="2806" max="2806" width="18" style="160" customWidth="1"/>
    <col min="2807" max="2807" width="23.6640625" style="160" customWidth="1"/>
    <col min="2808" max="2808" width="26" style="160" customWidth="1"/>
    <col min="2809" max="2809" width="21.5" style="160" customWidth="1"/>
    <col min="2810" max="2810" width="20.83203125" style="160" customWidth="1"/>
    <col min="2811" max="2811" width="0" style="160" hidden="1" customWidth="1"/>
    <col min="2812" max="3059" width="9.1640625" style="160"/>
    <col min="3060" max="3060" width="21.5" style="160" customWidth="1"/>
    <col min="3061" max="3061" width="16.5" style="160" customWidth="1"/>
    <col min="3062" max="3062" width="18" style="160" customWidth="1"/>
    <col min="3063" max="3063" width="23.6640625" style="160" customWidth="1"/>
    <col min="3064" max="3064" width="26" style="160" customWidth="1"/>
    <col min="3065" max="3065" width="21.5" style="160" customWidth="1"/>
    <col min="3066" max="3066" width="20.83203125" style="160" customWidth="1"/>
    <col min="3067" max="3067" width="0" style="160" hidden="1" customWidth="1"/>
    <col min="3068" max="3315" width="9.1640625" style="160"/>
    <col min="3316" max="3316" width="21.5" style="160" customWidth="1"/>
    <col min="3317" max="3317" width="16.5" style="160" customWidth="1"/>
    <col min="3318" max="3318" width="18" style="160" customWidth="1"/>
    <col min="3319" max="3319" width="23.6640625" style="160" customWidth="1"/>
    <col min="3320" max="3320" width="26" style="160" customWidth="1"/>
    <col min="3321" max="3321" width="21.5" style="160" customWidth="1"/>
    <col min="3322" max="3322" width="20.83203125" style="160" customWidth="1"/>
    <col min="3323" max="3323" width="0" style="160" hidden="1" customWidth="1"/>
    <col min="3324" max="3571" width="9.1640625" style="160"/>
    <col min="3572" max="3572" width="21.5" style="160" customWidth="1"/>
    <col min="3573" max="3573" width="16.5" style="160" customWidth="1"/>
    <col min="3574" max="3574" width="18" style="160" customWidth="1"/>
    <col min="3575" max="3575" width="23.6640625" style="160" customWidth="1"/>
    <col min="3576" max="3576" width="26" style="160" customWidth="1"/>
    <col min="3577" max="3577" width="21.5" style="160" customWidth="1"/>
    <col min="3578" max="3578" width="20.83203125" style="160" customWidth="1"/>
    <col min="3579" max="3579" width="0" style="160" hidden="1" customWidth="1"/>
    <col min="3580" max="3827" width="9.1640625" style="160"/>
    <col min="3828" max="3828" width="21.5" style="160" customWidth="1"/>
    <col min="3829" max="3829" width="16.5" style="160" customWidth="1"/>
    <col min="3830" max="3830" width="18" style="160" customWidth="1"/>
    <col min="3831" max="3831" width="23.6640625" style="160" customWidth="1"/>
    <col min="3832" max="3832" width="26" style="160" customWidth="1"/>
    <col min="3833" max="3833" width="21.5" style="160" customWidth="1"/>
    <col min="3834" max="3834" width="20.83203125" style="160" customWidth="1"/>
    <col min="3835" max="3835" width="0" style="160" hidden="1" customWidth="1"/>
    <col min="3836" max="4083" width="9.1640625" style="160"/>
    <col min="4084" max="4084" width="21.5" style="160" customWidth="1"/>
    <col min="4085" max="4085" width="16.5" style="160" customWidth="1"/>
    <col min="4086" max="4086" width="18" style="160" customWidth="1"/>
    <col min="4087" max="4087" width="23.6640625" style="160" customWidth="1"/>
    <col min="4088" max="4088" width="26" style="160" customWidth="1"/>
    <col min="4089" max="4089" width="21.5" style="160" customWidth="1"/>
    <col min="4090" max="4090" width="20.83203125" style="160" customWidth="1"/>
    <col min="4091" max="4091" width="0" style="160" hidden="1" customWidth="1"/>
    <col min="4092" max="4339" width="9.1640625" style="160"/>
    <col min="4340" max="4340" width="21.5" style="160" customWidth="1"/>
    <col min="4341" max="4341" width="16.5" style="160" customWidth="1"/>
    <col min="4342" max="4342" width="18" style="160" customWidth="1"/>
    <col min="4343" max="4343" width="23.6640625" style="160" customWidth="1"/>
    <col min="4344" max="4344" width="26" style="160" customWidth="1"/>
    <col min="4345" max="4345" width="21.5" style="160" customWidth="1"/>
    <col min="4346" max="4346" width="20.83203125" style="160" customWidth="1"/>
    <col min="4347" max="4347" width="0" style="160" hidden="1" customWidth="1"/>
    <col min="4348" max="4595" width="9.1640625" style="160"/>
    <col min="4596" max="4596" width="21.5" style="160" customWidth="1"/>
    <col min="4597" max="4597" width="16.5" style="160" customWidth="1"/>
    <col min="4598" max="4598" width="18" style="160" customWidth="1"/>
    <col min="4599" max="4599" width="23.6640625" style="160" customWidth="1"/>
    <col min="4600" max="4600" width="26" style="160" customWidth="1"/>
    <col min="4601" max="4601" width="21.5" style="160" customWidth="1"/>
    <col min="4602" max="4602" width="20.83203125" style="160" customWidth="1"/>
    <col min="4603" max="4603" width="0" style="160" hidden="1" customWidth="1"/>
    <col min="4604" max="4851" width="9.1640625" style="160"/>
    <col min="4852" max="4852" width="21.5" style="160" customWidth="1"/>
    <col min="4853" max="4853" width="16.5" style="160" customWidth="1"/>
    <col min="4854" max="4854" width="18" style="160" customWidth="1"/>
    <col min="4855" max="4855" width="23.6640625" style="160" customWidth="1"/>
    <col min="4856" max="4856" width="26" style="160" customWidth="1"/>
    <col min="4857" max="4857" width="21.5" style="160" customWidth="1"/>
    <col min="4858" max="4858" width="20.83203125" style="160" customWidth="1"/>
    <col min="4859" max="4859" width="0" style="160" hidden="1" customWidth="1"/>
    <col min="4860" max="5107" width="9.1640625" style="160"/>
    <col min="5108" max="5108" width="21.5" style="160" customWidth="1"/>
    <col min="5109" max="5109" width="16.5" style="160" customWidth="1"/>
    <col min="5110" max="5110" width="18" style="160" customWidth="1"/>
    <col min="5111" max="5111" width="23.6640625" style="160" customWidth="1"/>
    <col min="5112" max="5112" width="26" style="160" customWidth="1"/>
    <col min="5113" max="5113" width="21.5" style="160" customWidth="1"/>
    <col min="5114" max="5114" width="20.83203125" style="160" customWidth="1"/>
    <col min="5115" max="5115" width="0" style="160" hidden="1" customWidth="1"/>
    <col min="5116" max="5363" width="9.1640625" style="160"/>
    <col min="5364" max="5364" width="21.5" style="160" customWidth="1"/>
    <col min="5365" max="5365" width="16.5" style="160" customWidth="1"/>
    <col min="5366" max="5366" width="18" style="160" customWidth="1"/>
    <col min="5367" max="5367" width="23.6640625" style="160" customWidth="1"/>
    <col min="5368" max="5368" width="26" style="160" customWidth="1"/>
    <col min="5369" max="5369" width="21.5" style="160" customWidth="1"/>
    <col min="5370" max="5370" width="20.83203125" style="160" customWidth="1"/>
    <col min="5371" max="5371" width="0" style="160" hidden="1" customWidth="1"/>
    <col min="5372" max="5619" width="9.1640625" style="160"/>
    <col min="5620" max="5620" width="21.5" style="160" customWidth="1"/>
    <col min="5621" max="5621" width="16.5" style="160" customWidth="1"/>
    <col min="5622" max="5622" width="18" style="160" customWidth="1"/>
    <col min="5623" max="5623" width="23.6640625" style="160" customWidth="1"/>
    <col min="5624" max="5624" width="26" style="160" customWidth="1"/>
    <col min="5625" max="5625" width="21.5" style="160" customWidth="1"/>
    <col min="5626" max="5626" width="20.83203125" style="160" customWidth="1"/>
    <col min="5627" max="5627" width="0" style="160" hidden="1" customWidth="1"/>
    <col min="5628" max="5875" width="9.1640625" style="160"/>
    <col min="5876" max="5876" width="21.5" style="160" customWidth="1"/>
    <col min="5877" max="5877" width="16.5" style="160" customWidth="1"/>
    <col min="5878" max="5878" width="18" style="160" customWidth="1"/>
    <col min="5879" max="5879" width="23.6640625" style="160" customWidth="1"/>
    <col min="5880" max="5880" width="26" style="160" customWidth="1"/>
    <col min="5881" max="5881" width="21.5" style="160" customWidth="1"/>
    <col min="5882" max="5882" width="20.83203125" style="160" customWidth="1"/>
    <col min="5883" max="5883" width="0" style="160" hidden="1" customWidth="1"/>
    <col min="5884" max="6131" width="9.1640625" style="160"/>
    <col min="6132" max="6132" width="21.5" style="160" customWidth="1"/>
    <col min="6133" max="6133" width="16.5" style="160" customWidth="1"/>
    <col min="6134" max="6134" width="18" style="160" customWidth="1"/>
    <col min="6135" max="6135" width="23.6640625" style="160" customWidth="1"/>
    <col min="6136" max="6136" width="26" style="160" customWidth="1"/>
    <col min="6137" max="6137" width="21.5" style="160" customWidth="1"/>
    <col min="6138" max="6138" width="20.83203125" style="160" customWidth="1"/>
    <col min="6139" max="6139" width="0" style="160" hidden="1" customWidth="1"/>
    <col min="6140" max="6387" width="9.1640625" style="160"/>
    <col min="6388" max="6388" width="21.5" style="160" customWidth="1"/>
    <col min="6389" max="6389" width="16.5" style="160" customWidth="1"/>
    <col min="6390" max="6390" width="18" style="160" customWidth="1"/>
    <col min="6391" max="6391" width="23.6640625" style="160" customWidth="1"/>
    <col min="6392" max="6392" width="26" style="160" customWidth="1"/>
    <col min="6393" max="6393" width="21.5" style="160" customWidth="1"/>
    <col min="6394" max="6394" width="20.83203125" style="160" customWidth="1"/>
    <col min="6395" max="6395" width="0" style="160" hidden="1" customWidth="1"/>
    <col min="6396" max="6643" width="9.1640625" style="160"/>
    <col min="6644" max="6644" width="21.5" style="160" customWidth="1"/>
    <col min="6645" max="6645" width="16.5" style="160" customWidth="1"/>
    <col min="6646" max="6646" width="18" style="160" customWidth="1"/>
    <col min="6647" max="6647" width="23.6640625" style="160" customWidth="1"/>
    <col min="6648" max="6648" width="26" style="160" customWidth="1"/>
    <col min="6649" max="6649" width="21.5" style="160" customWidth="1"/>
    <col min="6650" max="6650" width="20.83203125" style="160" customWidth="1"/>
    <col min="6651" max="6651" width="0" style="160" hidden="1" customWidth="1"/>
    <col min="6652" max="6899" width="9.1640625" style="160"/>
    <col min="6900" max="6900" width="21.5" style="160" customWidth="1"/>
    <col min="6901" max="6901" width="16.5" style="160" customWidth="1"/>
    <col min="6902" max="6902" width="18" style="160" customWidth="1"/>
    <col min="6903" max="6903" width="23.6640625" style="160" customWidth="1"/>
    <col min="6904" max="6904" width="26" style="160" customWidth="1"/>
    <col min="6905" max="6905" width="21.5" style="160" customWidth="1"/>
    <col min="6906" max="6906" width="20.83203125" style="160" customWidth="1"/>
    <col min="6907" max="6907" width="0" style="160" hidden="1" customWidth="1"/>
    <col min="6908" max="7155" width="9.1640625" style="160"/>
    <col min="7156" max="7156" width="21.5" style="160" customWidth="1"/>
    <col min="7157" max="7157" width="16.5" style="160" customWidth="1"/>
    <col min="7158" max="7158" width="18" style="160" customWidth="1"/>
    <col min="7159" max="7159" width="23.6640625" style="160" customWidth="1"/>
    <col min="7160" max="7160" width="26" style="160" customWidth="1"/>
    <col min="7161" max="7161" width="21.5" style="160" customWidth="1"/>
    <col min="7162" max="7162" width="20.83203125" style="160" customWidth="1"/>
    <col min="7163" max="7163" width="0" style="160" hidden="1" customWidth="1"/>
    <col min="7164" max="7411" width="9.1640625" style="160"/>
    <col min="7412" max="7412" width="21.5" style="160" customWidth="1"/>
    <col min="7413" max="7413" width="16.5" style="160" customWidth="1"/>
    <col min="7414" max="7414" width="18" style="160" customWidth="1"/>
    <col min="7415" max="7415" width="23.6640625" style="160" customWidth="1"/>
    <col min="7416" max="7416" width="26" style="160" customWidth="1"/>
    <col min="7417" max="7417" width="21.5" style="160" customWidth="1"/>
    <col min="7418" max="7418" width="20.83203125" style="160" customWidth="1"/>
    <col min="7419" max="7419" width="0" style="160" hidden="1" customWidth="1"/>
    <col min="7420" max="7667" width="9.1640625" style="160"/>
    <col min="7668" max="7668" width="21.5" style="160" customWidth="1"/>
    <col min="7669" max="7669" width="16.5" style="160" customWidth="1"/>
    <col min="7670" max="7670" width="18" style="160" customWidth="1"/>
    <col min="7671" max="7671" width="23.6640625" style="160" customWidth="1"/>
    <col min="7672" max="7672" width="26" style="160" customWidth="1"/>
    <col min="7673" max="7673" width="21.5" style="160" customWidth="1"/>
    <col min="7674" max="7674" width="20.83203125" style="160" customWidth="1"/>
    <col min="7675" max="7675" width="0" style="160" hidden="1" customWidth="1"/>
    <col min="7676" max="7923" width="9.1640625" style="160"/>
    <col min="7924" max="7924" width="21.5" style="160" customWidth="1"/>
    <col min="7925" max="7925" width="16.5" style="160" customWidth="1"/>
    <col min="7926" max="7926" width="18" style="160" customWidth="1"/>
    <col min="7927" max="7927" width="23.6640625" style="160" customWidth="1"/>
    <col min="7928" max="7928" width="26" style="160" customWidth="1"/>
    <col min="7929" max="7929" width="21.5" style="160" customWidth="1"/>
    <col min="7930" max="7930" width="20.83203125" style="160" customWidth="1"/>
    <col min="7931" max="7931" width="0" style="160" hidden="1" customWidth="1"/>
    <col min="7932" max="8179" width="9.1640625" style="160"/>
    <col min="8180" max="8180" width="21.5" style="160" customWidth="1"/>
    <col min="8181" max="8181" width="16.5" style="160" customWidth="1"/>
    <col min="8182" max="8182" width="18" style="160" customWidth="1"/>
    <col min="8183" max="8183" width="23.6640625" style="160" customWidth="1"/>
    <col min="8184" max="8184" width="26" style="160" customWidth="1"/>
    <col min="8185" max="8185" width="21.5" style="160" customWidth="1"/>
    <col min="8186" max="8186" width="20.83203125" style="160" customWidth="1"/>
    <col min="8187" max="8187" width="0" style="160" hidden="1" customWidth="1"/>
    <col min="8188" max="8435" width="9.1640625" style="160"/>
    <col min="8436" max="8436" width="21.5" style="160" customWidth="1"/>
    <col min="8437" max="8437" width="16.5" style="160" customWidth="1"/>
    <col min="8438" max="8438" width="18" style="160" customWidth="1"/>
    <col min="8439" max="8439" width="23.6640625" style="160" customWidth="1"/>
    <col min="8440" max="8440" width="26" style="160" customWidth="1"/>
    <col min="8441" max="8441" width="21.5" style="160" customWidth="1"/>
    <col min="8442" max="8442" width="20.83203125" style="160" customWidth="1"/>
    <col min="8443" max="8443" width="0" style="160" hidden="1" customWidth="1"/>
    <col min="8444" max="8691" width="9.1640625" style="160"/>
    <col min="8692" max="8692" width="21.5" style="160" customWidth="1"/>
    <col min="8693" max="8693" width="16.5" style="160" customWidth="1"/>
    <col min="8694" max="8694" width="18" style="160" customWidth="1"/>
    <col min="8695" max="8695" width="23.6640625" style="160" customWidth="1"/>
    <col min="8696" max="8696" width="26" style="160" customWidth="1"/>
    <col min="8697" max="8697" width="21.5" style="160" customWidth="1"/>
    <col min="8698" max="8698" width="20.83203125" style="160" customWidth="1"/>
    <col min="8699" max="8699" width="0" style="160" hidden="1" customWidth="1"/>
    <col min="8700" max="8947" width="9.1640625" style="160"/>
    <col min="8948" max="8948" width="21.5" style="160" customWidth="1"/>
    <col min="8949" max="8949" width="16.5" style="160" customWidth="1"/>
    <col min="8950" max="8950" width="18" style="160" customWidth="1"/>
    <col min="8951" max="8951" width="23.6640625" style="160" customWidth="1"/>
    <col min="8952" max="8952" width="26" style="160" customWidth="1"/>
    <col min="8953" max="8953" width="21.5" style="160" customWidth="1"/>
    <col min="8954" max="8954" width="20.83203125" style="160" customWidth="1"/>
    <col min="8955" max="8955" width="0" style="160" hidden="1" customWidth="1"/>
    <col min="8956" max="9203" width="9.1640625" style="160"/>
    <col min="9204" max="9204" width="21.5" style="160" customWidth="1"/>
    <col min="9205" max="9205" width="16.5" style="160" customWidth="1"/>
    <col min="9206" max="9206" width="18" style="160" customWidth="1"/>
    <col min="9207" max="9207" width="23.6640625" style="160" customWidth="1"/>
    <col min="9208" max="9208" width="26" style="160" customWidth="1"/>
    <col min="9209" max="9209" width="21.5" style="160" customWidth="1"/>
    <col min="9210" max="9210" width="20.83203125" style="160" customWidth="1"/>
    <col min="9211" max="9211" width="0" style="160" hidden="1" customWidth="1"/>
    <col min="9212" max="9459" width="9.1640625" style="160"/>
    <col min="9460" max="9460" width="21.5" style="160" customWidth="1"/>
    <col min="9461" max="9461" width="16.5" style="160" customWidth="1"/>
    <col min="9462" max="9462" width="18" style="160" customWidth="1"/>
    <col min="9463" max="9463" width="23.6640625" style="160" customWidth="1"/>
    <col min="9464" max="9464" width="26" style="160" customWidth="1"/>
    <col min="9465" max="9465" width="21.5" style="160" customWidth="1"/>
    <col min="9466" max="9466" width="20.83203125" style="160" customWidth="1"/>
    <col min="9467" max="9467" width="0" style="160" hidden="1" customWidth="1"/>
    <col min="9468" max="9715" width="9.1640625" style="160"/>
    <col min="9716" max="9716" width="21.5" style="160" customWidth="1"/>
    <col min="9717" max="9717" width="16.5" style="160" customWidth="1"/>
    <col min="9718" max="9718" width="18" style="160" customWidth="1"/>
    <col min="9719" max="9719" width="23.6640625" style="160" customWidth="1"/>
    <col min="9720" max="9720" width="26" style="160" customWidth="1"/>
    <col min="9721" max="9721" width="21.5" style="160" customWidth="1"/>
    <col min="9722" max="9722" width="20.83203125" style="160" customWidth="1"/>
    <col min="9723" max="9723" width="0" style="160" hidden="1" customWidth="1"/>
    <col min="9724" max="9971" width="9.1640625" style="160"/>
    <col min="9972" max="9972" width="21.5" style="160" customWidth="1"/>
    <col min="9973" max="9973" width="16.5" style="160" customWidth="1"/>
    <col min="9974" max="9974" width="18" style="160" customWidth="1"/>
    <col min="9975" max="9975" width="23.6640625" style="160" customWidth="1"/>
    <col min="9976" max="9976" width="26" style="160" customWidth="1"/>
    <col min="9977" max="9977" width="21.5" style="160" customWidth="1"/>
    <col min="9978" max="9978" width="20.83203125" style="160" customWidth="1"/>
    <col min="9979" max="9979" width="0" style="160" hidden="1" customWidth="1"/>
    <col min="9980" max="10227" width="9.1640625" style="160"/>
    <col min="10228" max="10228" width="21.5" style="160" customWidth="1"/>
    <col min="10229" max="10229" width="16.5" style="160" customWidth="1"/>
    <col min="10230" max="10230" width="18" style="160" customWidth="1"/>
    <col min="10231" max="10231" width="23.6640625" style="160" customWidth="1"/>
    <col min="10232" max="10232" width="26" style="160" customWidth="1"/>
    <col min="10233" max="10233" width="21.5" style="160" customWidth="1"/>
    <col min="10234" max="10234" width="20.83203125" style="160" customWidth="1"/>
    <col min="10235" max="10235" width="0" style="160" hidden="1" customWidth="1"/>
    <col min="10236" max="10483" width="9.1640625" style="160"/>
    <col min="10484" max="10484" width="21.5" style="160" customWidth="1"/>
    <col min="10485" max="10485" width="16.5" style="160" customWidth="1"/>
    <col min="10486" max="10486" width="18" style="160" customWidth="1"/>
    <col min="10487" max="10487" width="23.6640625" style="160" customWidth="1"/>
    <col min="10488" max="10488" width="26" style="160" customWidth="1"/>
    <col min="10489" max="10489" width="21.5" style="160" customWidth="1"/>
    <col min="10490" max="10490" width="20.83203125" style="160" customWidth="1"/>
    <col min="10491" max="10491" width="0" style="160" hidden="1" customWidth="1"/>
    <col min="10492" max="10739" width="9.1640625" style="160"/>
    <col min="10740" max="10740" width="21.5" style="160" customWidth="1"/>
    <col min="10741" max="10741" width="16.5" style="160" customWidth="1"/>
    <col min="10742" max="10742" width="18" style="160" customWidth="1"/>
    <col min="10743" max="10743" width="23.6640625" style="160" customWidth="1"/>
    <col min="10744" max="10744" width="26" style="160" customWidth="1"/>
    <col min="10745" max="10745" width="21.5" style="160" customWidth="1"/>
    <col min="10746" max="10746" width="20.83203125" style="160" customWidth="1"/>
    <col min="10747" max="10747" width="0" style="160" hidden="1" customWidth="1"/>
    <col min="10748" max="10995" width="9.1640625" style="160"/>
    <col min="10996" max="10996" width="21.5" style="160" customWidth="1"/>
    <col min="10997" max="10997" width="16.5" style="160" customWidth="1"/>
    <col min="10998" max="10998" width="18" style="160" customWidth="1"/>
    <col min="10999" max="10999" width="23.6640625" style="160" customWidth="1"/>
    <col min="11000" max="11000" width="26" style="160" customWidth="1"/>
    <col min="11001" max="11001" width="21.5" style="160" customWidth="1"/>
    <col min="11002" max="11002" width="20.83203125" style="160" customWidth="1"/>
    <col min="11003" max="11003" width="0" style="160" hidden="1" customWidth="1"/>
    <col min="11004" max="11251" width="9.1640625" style="160"/>
    <col min="11252" max="11252" width="21.5" style="160" customWidth="1"/>
    <col min="11253" max="11253" width="16.5" style="160" customWidth="1"/>
    <col min="11254" max="11254" width="18" style="160" customWidth="1"/>
    <col min="11255" max="11255" width="23.6640625" style="160" customWidth="1"/>
    <col min="11256" max="11256" width="26" style="160" customWidth="1"/>
    <col min="11257" max="11257" width="21.5" style="160" customWidth="1"/>
    <col min="11258" max="11258" width="20.83203125" style="160" customWidth="1"/>
    <col min="11259" max="11259" width="0" style="160" hidden="1" customWidth="1"/>
    <col min="11260" max="11507" width="9.1640625" style="160"/>
    <col min="11508" max="11508" width="21.5" style="160" customWidth="1"/>
    <col min="11509" max="11509" width="16.5" style="160" customWidth="1"/>
    <col min="11510" max="11510" width="18" style="160" customWidth="1"/>
    <col min="11511" max="11511" width="23.6640625" style="160" customWidth="1"/>
    <col min="11512" max="11512" width="26" style="160" customWidth="1"/>
    <col min="11513" max="11513" width="21.5" style="160" customWidth="1"/>
    <col min="11514" max="11514" width="20.83203125" style="160" customWidth="1"/>
    <col min="11515" max="11515" width="0" style="160" hidden="1" customWidth="1"/>
    <col min="11516" max="11763" width="9.1640625" style="160"/>
    <col min="11764" max="11764" width="21.5" style="160" customWidth="1"/>
    <col min="11765" max="11765" width="16.5" style="160" customWidth="1"/>
    <col min="11766" max="11766" width="18" style="160" customWidth="1"/>
    <col min="11767" max="11767" width="23.6640625" style="160" customWidth="1"/>
    <col min="11768" max="11768" width="26" style="160" customWidth="1"/>
    <col min="11769" max="11769" width="21.5" style="160" customWidth="1"/>
    <col min="11770" max="11770" width="20.83203125" style="160" customWidth="1"/>
    <col min="11771" max="11771" width="0" style="160" hidden="1" customWidth="1"/>
    <col min="11772" max="12019" width="9.1640625" style="160"/>
    <col min="12020" max="12020" width="21.5" style="160" customWidth="1"/>
    <col min="12021" max="12021" width="16.5" style="160" customWidth="1"/>
    <col min="12022" max="12022" width="18" style="160" customWidth="1"/>
    <col min="12023" max="12023" width="23.6640625" style="160" customWidth="1"/>
    <col min="12024" max="12024" width="26" style="160" customWidth="1"/>
    <col min="12025" max="12025" width="21.5" style="160" customWidth="1"/>
    <col min="12026" max="12026" width="20.83203125" style="160" customWidth="1"/>
    <col min="12027" max="12027" width="0" style="160" hidden="1" customWidth="1"/>
    <col min="12028" max="12275" width="9.1640625" style="160"/>
    <col min="12276" max="12276" width="21.5" style="160" customWidth="1"/>
    <col min="12277" max="12277" width="16.5" style="160" customWidth="1"/>
    <col min="12278" max="12278" width="18" style="160" customWidth="1"/>
    <col min="12279" max="12279" width="23.6640625" style="160" customWidth="1"/>
    <col min="12280" max="12280" width="26" style="160" customWidth="1"/>
    <col min="12281" max="12281" width="21.5" style="160" customWidth="1"/>
    <col min="12282" max="12282" width="20.83203125" style="160" customWidth="1"/>
    <col min="12283" max="12283" width="0" style="160" hidden="1" customWidth="1"/>
    <col min="12284" max="12531" width="9.1640625" style="160"/>
    <col min="12532" max="12532" width="21.5" style="160" customWidth="1"/>
    <col min="12533" max="12533" width="16.5" style="160" customWidth="1"/>
    <col min="12534" max="12534" width="18" style="160" customWidth="1"/>
    <col min="12535" max="12535" width="23.6640625" style="160" customWidth="1"/>
    <col min="12536" max="12536" width="26" style="160" customWidth="1"/>
    <col min="12537" max="12537" width="21.5" style="160" customWidth="1"/>
    <col min="12538" max="12538" width="20.83203125" style="160" customWidth="1"/>
    <col min="12539" max="12539" width="0" style="160" hidden="1" customWidth="1"/>
    <col min="12540" max="12787" width="9.1640625" style="160"/>
    <col min="12788" max="12788" width="21.5" style="160" customWidth="1"/>
    <col min="12789" max="12789" width="16.5" style="160" customWidth="1"/>
    <col min="12790" max="12790" width="18" style="160" customWidth="1"/>
    <col min="12791" max="12791" width="23.6640625" style="160" customWidth="1"/>
    <col min="12792" max="12792" width="26" style="160" customWidth="1"/>
    <col min="12793" max="12793" width="21.5" style="160" customWidth="1"/>
    <col min="12794" max="12794" width="20.83203125" style="160" customWidth="1"/>
    <col min="12795" max="12795" width="0" style="160" hidden="1" customWidth="1"/>
    <col min="12796" max="13043" width="9.1640625" style="160"/>
    <col min="13044" max="13044" width="21.5" style="160" customWidth="1"/>
    <col min="13045" max="13045" width="16.5" style="160" customWidth="1"/>
    <col min="13046" max="13046" width="18" style="160" customWidth="1"/>
    <col min="13047" max="13047" width="23.6640625" style="160" customWidth="1"/>
    <col min="13048" max="13048" width="26" style="160" customWidth="1"/>
    <col min="13049" max="13049" width="21.5" style="160" customWidth="1"/>
    <col min="13050" max="13050" width="20.83203125" style="160" customWidth="1"/>
    <col min="13051" max="13051" width="0" style="160" hidden="1" customWidth="1"/>
    <col min="13052" max="13299" width="9.1640625" style="160"/>
    <col min="13300" max="13300" width="21.5" style="160" customWidth="1"/>
    <col min="13301" max="13301" width="16.5" style="160" customWidth="1"/>
    <col min="13302" max="13302" width="18" style="160" customWidth="1"/>
    <col min="13303" max="13303" width="23.6640625" style="160" customWidth="1"/>
    <col min="13304" max="13304" width="26" style="160" customWidth="1"/>
    <col min="13305" max="13305" width="21.5" style="160" customWidth="1"/>
    <col min="13306" max="13306" width="20.83203125" style="160" customWidth="1"/>
    <col min="13307" max="13307" width="0" style="160" hidden="1" customWidth="1"/>
    <col min="13308" max="13555" width="9.1640625" style="160"/>
    <col min="13556" max="13556" width="21.5" style="160" customWidth="1"/>
    <col min="13557" max="13557" width="16.5" style="160" customWidth="1"/>
    <col min="13558" max="13558" width="18" style="160" customWidth="1"/>
    <col min="13559" max="13559" width="23.6640625" style="160" customWidth="1"/>
    <col min="13560" max="13560" width="26" style="160" customWidth="1"/>
    <col min="13561" max="13561" width="21.5" style="160" customWidth="1"/>
    <col min="13562" max="13562" width="20.83203125" style="160" customWidth="1"/>
    <col min="13563" max="13563" width="0" style="160" hidden="1" customWidth="1"/>
    <col min="13564" max="13811" width="9.1640625" style="160"/>
    <col min="13812" max="13812" width="21.5" style="160" customWidth="1"/>
    <col min="13813" max="13813" width="16.5" style="160" customWidth="1"/>
    <col min="13814" max="13814" width="18" style="160" customWidth="1"/>
    <col min="13815" max="13815" width="23.6640625" style="160" customWidth="1"/>
    <col min="13816" max="13816" width="26" style="160" customWidth="1"/>
    <col min="13817" max="13817" width="21.5" style="160" customWidth="1"/>
    <col min="13818" max="13818" width="20.83203125" style="160" customWidth="1"/>
    <col min="13819" max="13819" width="0" style="160" hidden="1" customWidth="1"/>
    <col min="13820" max="14067" width="9.1640625" style="160"/>
    <col min="14068" max="14068" width="21.5" style="160" customWidth="1"/>
    <col min="14069" max="14069" width="16.5" style="160" customWidth="1"/>
    <col min="14070" max="14070" width="18" style="160" customWidth="1"/>
    <col min="14071" max="14071" width="23.6640625" style="160" customWidth="1"/>
    <col min="14072" max="14072" width="26" style="160" customWidth="1"/>
    <col min="14073" max="14073" width="21.5" style="160" customWidth="1"/>
    <col min="14074" max="14074" width="20.83203125" style="160" customWidth="1"/>
    <col min="14075" max="14075" width="0" style="160" hidden="1" customWidth="1"/>
    <col min="14076" max="14323" width="9.1640625" style="160"/>
    <col min="14324" max="14324" width="21.5" style="160" customWidth="1"/>
    <col min="14325" max="14325" width="16.5" style="160" customWidth="1"/>
    <col min="14326" max="14326" width="18" style="160" customWidth="1"/>
    <col min="14327" max="14327" width="23.6640625" style="160" customWidth="1"/>
    <col min="14328" max="14328" width="26" style="160" customWidth="1"/>
    <col min="14329" max="14329" width="21.5" style="160" customWidth="1"/>
    <col min="14330" max="14330" width="20.83203125" style="160" customWidth="1"/>
    <col min="14331" max="14331" width="0" style="160" hidden="1" customWidth="1"/>
    <col min="14332" max="14579" width="9.1640625" style="160"/>
    <col min="14580" max="14580" width="21.5" style="160" customWidth="1"/>
    <col min="14581" max="14581" width="16.5" style="160" customWidth="1"/>
    <col min="14582" max="14582" width="18" style="160" customWidth="1"/>
    <col min="14583" max="14583" width="23.6640625" style="160" customWidth="1"/>
    <col min="14584" max="14584" width="26" style="160" customWidth="1"/>
    <col min="14585" max="14585" width="21.5" style="160" customWidth="1"/>
    <col min="14586" max="14586" width="20.83203125" style="160" customWidth="1"/>
    <col min="14587" max="14587" width="0" style="160" hidden="1" customWidth="1"/>
    <col min="14588" max="14835" width="9.1640625" style="160"/>
    <col min="14836" max="14836" width="21.5" style="160" customWidth="1"/>
    <col min="14837" max="14837" width="16.5" style="160" customWidth="1"/>
    <col min="14838" max="14838" width="18" style="160" customWidth="1"/>
    <col min="14839" max="14839" width="23.6640625" style="160" customWidth="1"/>
    <col min="14840" max="14840" width="26" style="160" customWidth="1"/>
    <col min="14841" max="14841" width="21.5" style="160" customWidth="1"/>
    <col min="14842" max="14842" width="20.83203125" style="160" customWidth="1"/>
    <col min="14843" max="14843" width="0" style="160" hidden="1" customWidth="1"/>
    <col min="14844" max="15091" width="9.1640625" style="160"/>
    <col min="15092" max="15092" width="21.5" style="160" customWidth="1"/>
    <col min="15093" max="15093" width="16.5" style="160" customWidth="1"/>
    <col min="15094" max="15094" width="18" style="160" customWidth="1"/>
    <col min="15095" max="15095" width="23.6640625" style="160" customWidth="1"/>
    <col min="15096" max="15096" width="26" style="160" customWidth="1"/>
    <col min="15097" max="15097" width="21.5" style="160" customWidth="1"/>
    <col min="15098" max="15098" width="20.83203125" style="160" customWidth="1"/>
    <col min="15099" max="15099" width="0" style="160" hidden="1" customWidth="1"/>
    <col min="15100" max="15347" width="9.1640625" style="160"/>
    <col min="15348" max="15348" width="21.5" style="160" customWidth="1"/>
    <col min="15349" max="15349" width="16.5" style="160" customWidth="1"/>
    <col min="15350" max="15350" width="18" style="160" customWidth="1"/>
    <col min="15351" max="15351" width="23.6640625" style="160" customWidth="1"/>
    <col min="15352" max="15352" width="26" style="160" customWidth="1"/>
    <col min="15353" max="15353" width="21.5" style="160" customWidth="1"/>
    <col min="15354" max="15354" width="20.83203125" style="160" customWidth="1"/>
    <col min="15355" max="15355" width="0" style="160" hidden="1" customWidth="1"/>
    <col min="15356" max="15603" width="9.1640625" style="160"/>
    <col min="15604" max="15604" width="21.5" style="160" customWidth="1"/>
    <col min="15605" max="15605" width="16.5" style="160" customWidth="1"/>
    <col min="15606" max="15606" width="18" style="160" customWidth="1"/>
    <col min="15607" max="15607" width="23.6640625" style="160" customWidth="1"/>
    <col min="15608" max="15608" width="26" style="160" customWidth="1"/>
    <col min="15609" max="15609" width="21.5" style="160" customWidth="1"/>
    <col min="15610" max="15610" width="20.83203125" style="160" customWidth="1"/>
    <col min="15611" max="15611" width="0" style="160" hidden="1" customWidth="1"/>
    <col min="15612" max="15859" width="9.1640625" style="160"/>
    <col min="15860" max="15860" width="21.5" style="160" customWidth="1"/>
    <col min="15861" max="15861" width="16.5" style="160" customWidth="1"/>
    <col min="15862" max="15862" width="18" style="160" customWidth="1"/>
    <col min="15863" max="15863" width="23.6640625" style="160" customWidth="1"/>
    <col min="15864" max="15864" width="26" style="160" customWidth="1"/>
    <col min="15865" max="15865" width="21.5" style="160" customWidth="1"/>
    <col min="15866" max="15866" width="20.83203125" style="160" customWidth="1"/>
    <col min="15867" max="15867" width="0" style="160" hidden="1" customWidth="1"/>
    <col min="15868" max="16115" width="9.1640625" style="160"/>
    <col min="16116" max="16116" width="21.5" style="160" customWidth="1"/>
    <col min="16117" max="16117" width="16.5" style="160" customWidth="1"/>
    <col min="16118" max="16118" width="18" style="160" customWidth="1"/>
    <col min="16119" max="16119" width="23.6640625" style="160" customWidth="1"/>
    <col min="16120" max="16120" width="26" style="160" customWidth="1"/>
    <col min="16121" max="16121" width="21.5" style="160" customWidth="1"/>
    <col min="16122" max="16122" width="20.83203125" style="160" customWidth="1"/>
    <col min="16123" max="16123" width="0" style="160" hidden="1" customWidth="1"/>
    <col min="16124" max="16384" width="9.1640625" style="160"/>
  </cols>
  <sheetData>
    <row r="1" spans="2:15" ht="9" customHeight="1"/>
    <row r="2" spans="2:15" ht="30" customHeight="1">
      <c r="B2" s="197" t="s">
        <v>221</v>
      </c>
      <c r="C2" s="198"/>
      <c r="D2" s="198"/>
      <c r="E2" s="198"/>
      <c r="F2" s="198"/>
      <c r="G2" s="198"/>
      <c r="H2" s="198"/>
      <c r="I2" s="198"/>
      <c r="J2" s="199"/>
    </row>
    <row r="3" spans="2:15" ht="30" customHeight="1">
      <c r="B3" s="801" t="s">
        <v>202</v>
      </c>
      <c r="C3" s="802"/>
      <c r="D3" s="802"/>
      <c r="E3" s="802"/>
      <c r="F3" s="802"/>
      <c r="G3" s="802"/>
      <c r="H3" s="802"/>
      <c r="I3" s="802"/>
      <c r="J3" s="803"/>
    </row>
    <row r="4" spans="2:15" ht="15" customHeight="1" thickBot="1">
      <c r="B4" s="322"/>
      <c r="C4" s="322"/>
      <c r="D4" s="322"/>
      <c r="E4" s="322"/>
      <c r="F4" s="322"/>
      <c r="G4" s="322"/>
      <c r="H4" s="322"/>
      <c r="I4" s="322"/>
      <c r="J4" s="322"/>
    </row>
    <row r="5" spans="2:15" ht="45" customHeight="1" thickBot="1">
      <c r="B5" s="806" t="s">
        <v>315</v>
      </c>
      <c r="C5" s="807"/>
      <c r="D5" s="808"/>
      <c r="E5" s="322"/>
      <c r="F5" s="801" t="s">
        <v>200</v>
      </c>
      <c r="G5" s="802"/>
      <c r="H5" s="802"/>
      <c r="I5" s="802"/>
      <c r="J5" s="803"/>
    </row>
    <row r="6" spans="2:15" ht="15" thickBot="1">
      <c r="B6" s="479" t="s">
        <v>50</v>
      </c>
      <c r="C6" s="480" t="s">
        <v>61</v>
      </c>
      <c r="D6" s="481" t="s">
        <v>60</v>
      </c>
      <c r="E6" s="174"/>
      <c r="F6" s="323" t="s">
        <v>201</v>
      </c>
      <c r="G6" s="323" t="s">
        <v>201</v>
      </c>
      <c r="H6" s="323" t="s">
        <v>201</v>
      </c>
      <c r="I6" s="323" t="s">
        <v>201</v>
      </c>
      <c r="J6" s="323" t="s">
        <v>201</v>
      </c>
      <c r="K6" s="323" t="s">
        <v>201</v>
      </c>
      <c r="L6" s="323" t="s">
        <v>201</v>
      </c>
      <c r="M6" s="323" t="s">
        <v>201</v>
      </c>
      <c r="N6" s="323" t="s">
        <v>201</v>
      </c>
      <c r="O6" s="323" t="s">
        <v>201</v>
      </c>
    </row>
    <row r="7" spans="2:15" s="719" customFormat="1" ht="30" customHeight="1">
      <c r="B7" s="717" t="s">
        <v>413</v>
      </c>
      <c r="C7" s="714" t="s">
        <v>52</v>
      </c>
      <c r="D7" s="715">
        <f>'Cash Flow'!G82</f>
        <v>12.849999999999998</v>
      </c>
      <c r="E7" s="718"/>
      <c r="F7" s="715"/>
      <c r="G7" s="715"/>
      <c r="H7" s="715"/>
      <c r="I7" s="715"/>
      <c r="J7" s="715"/>
      <c r="K7" s="715"/>
      <c r="L7" s="715"/>
      <c r="M7" s="715"/>
      <c r="N7" s="715"/>
      <c r="O7" s="716"/>
    </row>
    <row r="8" spans="2:15" ht="15.75" customHeight="1">
      <c r="B8" s="200" t="s">
        <v>196</v>
      </c>
      <c r="C8" s="201" t="s">
        <v>1</v>
      </c>
      <c r="D8" s="324">
        <f>Inputs!$Q$15</f>
        <v>0</v>
      </c>
      <c r="E8" s="256"/>
      <c r="F8" s="324"/>
      <c r="G8" s="324"/>
      <c r="H8" s="324"/>
      <c r="I8" s="324"/>
      <c r="J8" s="324"/>
      <c r="K8" s="324"/>
      <c r="L8" s="324"/>
      <c r="M8" s="324"/>
      <c r="N8" s="324"/>
      <c r="O8" s="531"/>
    </row>
    <row r="9" spans="2:15" ht="15.75" customHeight="1">
      <c r="B9" s="202" t="s">
        <v>100</v>
      </c>
      <c r="C9" s="203" t="s">
        <v>1</v>
      </c>
      <c r="D9" s="324">
        <f>Inputs!$Q$14</f>
        <v>0</v>
      </c>
      <c r="E9" s="256"/>
      <c r="F9" s="324"/>
      <c r="G9" s="324"/>
      <c r="H9" s="324"/>
      <c r="I9" s="324"/>
      <c r="J9" s="324"/>
      <c r="K9" s="324"/>
      <c r="L9" s="324"/>
      <c r="M9" s="324"/>
      <c r="N9" s="324"/>
      <c r="O9" s="531"/>
    </row>
    <row r="10" spans="2:15" ht="15">
      <c r="B10" s="494" t="s">
        <v>293</v>
      </c>
      <c r="C10" s="495"/>
      <c r="D10" s="486" t="str">
        <f>IF(Inputs!$G$63="Pass","Yes","No, see Inputs Worksheet")</f>
        <v>Yes</v>
      </c>
      <c r="E10" s="174"/>
      <c r="F10" s="530"/>
      <c r="G10" s="530"/>
      <c r="H10" s="530"/>
      <c r="I10" s="530"/>
      <c r="J10" s="530"/>
      <c r="K10" s="530"/>
      <c r="L10" s="530"/>
      <c r="M10" s="530"/>
      <c r="N10" s="530"/>
      <c r="O10" s="530"/>
    </row>
    <row r="11" spans="2:15" ht="15">
      <c r="B11" s="496" t="s">
        <v>294</v>
      </c>
      <c r="C11" s="497"/>
      <c r="D11" s="486" t="str">
        <f>IF(Inputs!$G$66="Pass","Yes","No, see Inputs Worksheet")</f>
        <v>Yes</v>
      </c>
      <c r="E11" s="174"/>
      <c r="F11" s="530"/>
      <c r="G11" s="530"/>
      <c r="H11" s="530"/>
      <c r="I11" s="530"/>
      <c r="J11" s="530"/>
      <c r="K11" s="530"/>
      <c r="L11" s="530"/>
      <c r="M11" s="530"/>
      <c r="N11" s="530"/>
      <c r="O11" s="532"/>
    </row>
    <row r="12" spans="2:15" ht="15.75" customHeight="1">
      <c r="B12" s="469" t="s">
        <v>307</v>
      </c>
      <c r="C12" s="467"/>
      <c r="D12" s="468"/>
      <c r="E12" s="174"/>
      <c r="F12" s="529"/>
      <c r="G12" s="529"/>
      <c r="H12" s="529"/>
      <c r="I12" s="529"/>
      <c r="J12" s="529"/>
      <c r="K12" s="529"/>
      <c r="L12" s="529"/>
      <c r="M12" s="529"/>
      <c r="N12" s="529"/>
      <c r="O12" s="529"/>
    </row>
    <row r="13" spans="2:15" ht="15.75" customHeight="1">
      <c r="B13" s="336"/>
      <c r="C13" s="201"/>
      <c r="D13" s="337"/>
      <c r="E13" s="174"/>
      <c r="F13" s="337"/>
      <c r="G13" s="337"/>
      <c r="H13" s="337"/>
      <c r="I13" s="337"/>
      <c r="J13" s="337"/>
      <c r="K13" s="337"/>
      <c r="L13" s="337"/>
      <c r="M13" s="337"/>
      <c r="N13" s="337"/>
      <c r="O13" s="337"/>
    </row>
    <row r="14" spans="2:15" s="719" customFormat="1" ht="30" customHeight="1">
      <c r="B14" s="720" t="s">
        <v>414</v>
      </c>
      <c r="C14" s="721" t="s">
        <v>52</v>
      </c>
      <c r="D14" s="722">
        <f>-PMT(Inputs!$G$68,Inputs!$Q$13,NPV(Inputs!$G$68,'Cash Flow'!G21:AJ21))</f>
        <v>12.849999999999991</v>
      </c>
      <c r="E14" s="723"/>
      <c r="F14" s="722"/>
      <c r="G14" s="722"/>
      <c r="H14" s="722"/>
      <c r="I14" s="722"/>
      <c r="J14" s="722"/>
      <c r="K14" s="722"/>
      <c r="L14" s="722"/>
      <c r="M14" s="722"/>
      <c r="N14" s="722"/>
      <c r="O14" s="722"/>
    </row>
    <row r="15" spans="2:15" s="180" customFormat="1">
      <c r="C15" s="204"/>
      <c r="D15" s="205"/>
      <c r="E15" s="179"/>
      <c r="F15" s="205"/>
      <c r="G15" s="205"/>
      <c r="H15" s="205"/>
      <c r="I15" s="205"/>
      <c r="J15" s="205"/>
      <c r="K15" s="205"/>
      <c r="L15" s="205"/>
      <c r="M15" s="205"/>
      <c r="N15" s="205"/>
      <c r="O15" s="205"/>
    </row>
    <row r="16" spans="2:15" s="180" customFormat="1" ht="15.75" customHeight="1">
      <c r="B16" s="206" t="s">
        <v>49</v>
      </c>
      <c r="C16" s="341"/>
      <c r="D16" s="340"/>
      <c r="E16" s="174"/>
      <c r="F16" s="339"/>
      <c r="G16" s="339"/>
      <c r="H16" s="339"/>
      <c r="I16" s="339"/>
      <c r="J16" s="339"/>
      <c r="K16" s="339"/>
      <c r="L16" s="339"/>
      <c r="M16" s="339"/>
      <c r="N16" s="339"/>
      <c r="O16" s="339"/>
    </row>
    <row r="17" spans="2:15" s="180" customFormat="1" ht="15.75" customHeight="1">
      <c r="B17" s="697"/>
      <c r="C17" s="696"/>
      <c r="D17" s="698"/>
      <c r="E17" s="174"/>
      <c r="F17" s="699"/>
      <c r="G17" s="699"/>
      <c r="H17" s="699"/>
      <c r="I17" s="699"/>
      <c r="J17" s="699"/>
      <c r="K17" s="699"/>
      <c r="L17" s="699"/>
      <c r="M17" s="699"/>
      <c r="N17" s="699"/>
      <c r="O17" s="699"/>
    </row>
    <row r="18" spans="2:15">
      <c r="B18" s="200" t="s">
        <v>28</v>
      </c>
      <c r="C18" s="201" t="str">
        <f>Inputs!F9</f>
        <v>kW</v>
      </c>
      <c r="D18" s="525">
        <f>Inputs!G9</f>
        <v>3650</v>
      </c>
      <c r="E18" s="209"/>
      <c r="F18" s="704"/>
      <c r="G18" s="527"/>
      <c r="H18" s="526"/>
      <c r="I18" s="526"/>
      <c r="J18" s="526"/>
      <c r="K18" s="526"/>
      <c r="L18" s="527"/>
      <c r="M18" s="526"/>
      <c r="N18" s="526"/>
      <c r="O18" s="526"/>
    </row>
    <row r="19" spans="2:15">
      <c r="B19" s="733" t="str">
        <f>Inputs!E13</f>
        <v>Gas Consumption, Year 1</v>
      </c>
      <c r="C19" s="201" t="str">
        <f>Inputs!F13</f>
        <v>cubic feet/year</v>
      </c>
      <c r="D19" s="525">
        <f>Inputs!G13</f>
        <v>227281850</v>
      </c>
      <c r="E19" s="209"/>
      <c r="F19" s="704"/>
      <c r="G19" s="527"/>
      <c r="H19" s="526"/>
      <c r="I19" s="526"/>
      <c r="J19" s="526"/>
      <c r="K19" s="526"/>
      <c r="L19" s="527"/>
      <c r="M19" s="526"/>
      <c r="N19" s="526"/>
      <c r="O19" s="526"/>
    </row>
    <row r="20" spans="2:15">
      <c r="B20" s="733" t="str">
        <f>Inputs!E12</f>
        <v>Energy Content per Cubic Foot</v>
      </c>
      <c r="C20" s="201" t="str">
        <f>Inputs!F12</f>
        <v>BTU/cubic foot</v>
      </c>
      <c r="D20" s="525">
        <f>Inputs!G12</f>
        <v>1000</v>
      </c>
      <c r="E20" s="209"/>
      <c r="F20" s="704"/>
      <c r="G20" s="527"/>
      <c r="H20" s="526"/>
      <c r="I20" s="526"/>
      <c r="J20" s="526"/>
      <c r="K20" s="526"/>
      <c r="L20" s="527"/>
      <c r="M20" s="526"/>
      <c r="N20" s="526"/>
      <c r="O20" s="526"/>
    </row>
    <row r="21" spans="2:15">
      <c r="B21" s="733" t="str">
        <f>Inputs!E11</f>
        <v>Initial Heat Rate (Year 1)</v>
      </c>
      <c r="C21" s="201" t="str">
        <f>Inputs!F11</f>
        <v>BTU/kWh</v>
      </c>
      <c r="D21" s="525">
        <f>Inputs!G11</f>
        <v>7108.3333333333339</v>
      </c>
      <c r="E21" s="209"/>
      <c r="F21" s="704"/>
      <c r="G21" s="527"/>
      <c r="H21" s="526"/>
      <c r="I21" s="526"/>
      <c r="J21" s="526"/>
      <c r="K21" s="526"/>
      <c r="L21" s="527"/>
      <c r="M21" s="526"/>
      <c r="N21" s="526"/>
      <c r="O21" s="526"/>
    </row>
    <row r="22" spans="2:15">
      <c r="B22" s="733" t="str">
        <f>Inputs!E14</f>
        <v>Availability</v>
      </c>
      <c r="C22" s="201" t="str">
        <f>Inputs!F14</f>
        <v>%</v>
      </c>
      <c r="D22" s="694">
        <f>Inputs!G14</f>
        <v>0.9</v>
      </c>
      <c r="E22" s="211"/>
      <c r="F22" s="705"/>
      <c r="G22" s="212"/>
      <c r="H22" s="210"/>
      <c r="I22" s="210"/>
      <c r="J22" s="210"/>
      <c r="K22" s="210"/>
      <c r="L22" s="212"/>
      <c r="M22" s="210"/>
      <c r="N22" s="210"/>
      <c r="O22" s="210"/>
    </row>
    <row r="23" spans="2:15">
      <c r="B23" s="733" t="str">
        <f>Inputs!E15</f>
        <v>Station Service (Parasitic Load)</v>
      </c>
      <c r="C23" s="201" t="str">
        <f>Inputs!F15</f>
        <v>%</v>
      </c>
      <c r="D23" s="694">
        <f>Inputs!G15</f>
        <v>0.1</v>
      </c>
      <c r="E23" s="211"/>
      <c r="F23" s="705"/>
      <c r="G23" s="212"/>
      <c r="H23" s="210"/>
      <c r="I23" s="210"/>
      <c r="J23" s="210"/>
      <c r="K23" s="210"/>
      <c r="L23" s="212"/>
      <c r="M23" s="210"/>
      <c r="N23" s="210"/>
      <c r="O23" s="210"/>
    </row>
    <row r="24" spans="2:15">
      <c r="B24" s="200" t="s">
        <v>270</v>
      </c>
      <c r="C24" s="201" t="s">
        <v>2</v>
      </c>
      <c r="D24" s="525">
        <f>'Cash Flow'!G10</f>
        <v>25898940</v>
      </c>
      <c r="E24" s="211"/>
      <c r="F24" s="704"/>
      <c r="G24" s="212"/>
      <c r="H24" s="210"/>
      <c r="I24" s="210"/>
      <c r="J24" s="210"/>
      <c r="K24" s="210"/>
      <c r="L24" s="212"/>
      <c r="M24" s="210"/>
      <c r="N24" s="210"/>
      <c r="O24" s="210"/>
    </row>
    <row r="25" spans="2:15">
      <c r="B25" s="200" t="s">
        <v>208</v>
      </c>
      <c r="C25" s="201" t="s">
        <v>51</v>
      </c>
      <c r="D25" s="213">
        <f>Inputs!G19</f>
        <v>20</v>
      </c>
      <c r="E25" s="211"/>
      <c r="F25" s="706"/>
      <c r="G25" s="212"/>
      <c r="H25" s="210"/>
      <c r="I25" s="210"/>
      <c r="J25" s="210"/>
      <c r="K25" s="210"/>
      <c r="L25" s="212"/>
      <c r="M25" s="210"/>
      <c r="N25" s="210"/>
      <c r="O25" s="210"/>
    </row>
    <row r="26" spans="2:15">
      <c r="B26" s="200" t="s">
        <v>396</v>
      </c>
      <c r="C26" s="201" t="s">
        <v>51</v>
      </c>
      <c r="D26" s="213">
        <f>Inputs!$Q$13</f>
        <v>20</v>
      </c>
      <c r="E26" s="207"/>
      <c r="F26" s="706"/>
      <c r="G26" s="208"/>
      <c r="H26" s="213"/>
      <c r="I26" s="213"/>
      <c r="J26" s="213"/>
      <c r="K26" s="213"/>
      <c r="L26" s="309"/>
      <c r="M26" s="213"/>
      <c r="N26" s="213"/>
      <c r="O26" s="213"/>
    </row>
    <row r="27" spans="2:15">
      <c r="B27" s="200" t="s">
        <v>398</v>
      </c>
      <c r="C27" s="201" t="s">
        <v>1</v>
      </c>
      <c r="D27" s="694">
        <f>Inputs!Q14</f>
        <v>0</v>
      </c>
      <c r="E27" s="207"/>
      <c r="F27" s="707"/>
      <c r="G27" s="690"/>
      <c r="H27" s="213"/>
      <c r="I27" s="213"/>
      <c r="J27" s="213"/>
      <c r="K27" s="213"/>
      <c r="L27" s="690"/>
      <c r="M27" s="213"/>
      <c r="N27" s="213"/>
      <c r="O27" s="213"/>
    </row>
    <row r="28" spans="2:15">
      <c r="B28" s="200"/>
      <c r="C28" s="201"/>
      <c r="D28" s="213"/>
      <c r="E28" s="207"/>
      <c r="F28" s="706"/>
      <c r="G28" s="208"/>
      <c r="H28" s="213"/>
      <c r="I28" s="213"/>
      <c r="J28" s="213"/>
      <c r="K28" s="213"/>
      <c r="L28" s="309"/>
      <c r="M28" s="213"/>
      <c r="N28" s="213"/>
      <c r="O28" s="213"/>
    </row>
    <row r="29" spans="2:15">
      <c r="B29" s="200" t="s">
        <v>399</v>
      </c>
      <c r="C29" s="201" t="s">
        <v>0</v>
      </c>
      <c r="D29" s="214">
        <f>Inputs!$G30-Inputs!$G$75</f>
        <v>17337500</v>
      </c>
      <c r="E29" s="215"/>
      <c r="F29" s="708"/>
      <c r="G29" s="216"/>
      <c r="H29" s="214"/>
      <c r="I29" s="214"/>
      <c r="J29" s="214"/>
      <c r="K29" s="214"/>
      <c r="L29" s="216"/>
      <c r="M29" s="214"/>
      <c r="N29" s="214"/>
      <c r="O29" s="214"/>
    </row>
    <row r="30" spans="2:15" ht="15">
      <c r="B30" s="200" t="s">
        <v>399</v>
      </c>
      <c r="C30" s="217" t="s">
        <v>323</v>
      </c>
      <c r="D30" s="214">
        <f>D29/D18</f>
        <v>4750</v>
      </c>
      <c r="E30" s="218"/>
      <c r="F30" s="708"/>
      <c r="G30" s="216"/>
      <c r="H30" s="214"/>
      <c r="I30" s="214"/>
      <c r="J30" s="214"/>
      <c r="K30" s="214"/>
      <c r="L30" s="216"/>
      <c r="M30" s="214"/>
      <c r="N30" s="214"/>
      <c r="O30" s="214"/>
    </row>
    <row r="31" spans="2:15">
      <c r="B31" s="200"/>
      <c r="C31" s="201"/>
      <c r="D31" s="214"/>
      <c r="E31" s="218"/>
      <c r="F31" s="708"/>
      <c r="G31" s="216"/>
      <c r="H31" s="214"/>
      <c r="I31" s="214"/>
      <c r="J31" s="214"/>
      <c r="K31" s="214"/>
      <c r="L31" s="216"/>
      <c r="M31" s="214"/>
      <c r="N31" s="214"/>
      <c r="O31" s="214"/>
    </row>
    <row r="32" spans="2:15">
      <c r="B32" s="200" t="s">
        <v>431</v>
      </c>
      <c r="C32" s="201"/>
      <c r="D32" s="214"/>
      <c r="E32" s="218"/>
      <c r="F32" s="708"/>
      <c r="G32" s="216"/>
      <c r="H32" s="214"/>
      <c r="I32" s="214"/>
      <c r="J32" s="214"/>
      <c r="K32" s="214"/>
      <c r="L32" s="216"/>
      <c r="M32" s="214"/>
      <c r="N32" s="214"/>
      <c r="O32" s="214"/>
    </row>
    <row r="33" spans="2:15">
      <c r="B33" s="733" t="str">
        <f>Inputs!O7</f>
        <v>Waste Heat -- Heat Capture Efficiency</v>
      </c>
      <c r="C33" s="201" t="str">
        <f>Inputs!P7</f>
        <v>%</v>
      </c>
      <c r="D33" s="760">
        <f>Inputs!Q7</f>
        <v>0.85</v>
      </c>
      <c r="E33" s="218"/>
      <c r="F33" s="708"/>
      <c r="G33" s="216"/>
      <c r="H33" s="214"/>
      <c r="I33" s="214"/>
      <c r="J33" s="214"/>
      <c r="K33" s="214"/>
      <c r="L33" s="216"/>
      <c r="M33" s="214"/>
      <c r="N33" s="214"/>
      <c r="O33" s="214"/>
    </row>
    <row r="34" spans="2:15">
      <c r="B34" s="733" t="str">
        <f>Inputs!O8</f>
        <v>Waste Heat -- BTUs available for sale</v>
      </c>
      <c r="C34" s="201" t="str">
        <f>Inputs!P8</f>
        <v>BTU/kWh</v>
      </c>
      <c r="D34" s="734">
        <f>Inputs!Q8</f>
        <v>3141.8833333333337</v>
      </c>
      <c r="E34" s="218"/>
      <c r="F34" s="708"/>
      <c r="G34" s="216"/>
      <c r="H34" s="214"/>
      <c r="I34" s="214"/>
      <c r="J34" s="214"/>
      <c r="K34" s="214"/>
      <c r="L34" s="216"/>
      <c r="M34" s="214"/>
      <c r="N34" s="214"/>
      <c r="O34" s="214"/>
    </row>
    <row r="35" spans="2:15">
      <c r="B35" s="733" t="str">
        <f>Inputs!O9</f>
        <v>Waste Heat -- Selling Price/Avoided Cost</v>
      </c>
      <c r="C35" s="201" t="str">
        <f>Inputs!P9</f>
        <v>$/therm</v>
      </c>
      <c r="D35" s="734">
        <f>Inputs!Q9</f>
        <v>0</v>
      </c>
      <c r="E35" s="218"/>
      <c r="F35" s="708"/>
      <c r="G35" s="216"/>
      <c r="H35" s="214"/>
      <c r="I35" s="214"/>
      <c r="J35" s="214"/>
      <c r="K35" s="214"/>
      <c r="L35" s="216"/>
      <c r="M35" s="214"/>
      <c r="N35" s="214"/>
      <c r="O35" s="214"/>
    </row>
    <row r="36" spans="2:15">
      <c r="B36" s="733" t="str">
        <f>Inputs!O10</f>
        <v>Waste Heat -- Selling Price Escalation Factor</v>
      </c>
      <c r="C36" s="201" t="str">
        <f>Inputs!P10</f>
        <v>%</v>
      </c>
      <c r="D36" s="760">
        <f>Inputs!Q10</f>
        <v>0.02</v>
      </c>
      <c r="E36" s="218"/>
      <c r="F36" s="708"/>
      <c r="G36" s="216"/>
      <c r="H36" s="214"/>
      <c r="I36" s="214"/>
      <c r="J36" s="214"/>
      <c r="K36" s="214"/>
      <c r="L36" s="216"/>
      <c r="M36" s="214"/>
      <c r="N36" s="214"/>
      <c r="O36" s="214"/>
    </row>
    <row r="37" spans="2:15">
      <c r="B37" s="200"/>
      <c r="C37" s="201"/>
      <c r="D37" s="214"/>
      <c r="E37" s="218"/>
      <c r="F37" s="708"/>
      <c r="G37" s="216"/>
      <c r="H37" s="214"/>
      <c r="I37" s="214"/>
      <c r="J37" s="214"/>
      <c r="K37" s="214"/>
      <c r="L37" s="216"/>
      <c r="M37" s="214"/>
      <c r="N37" s="214"/>
      <c r="O37" s="214"/>
    </row>
    <row r="38" spans="2:15" ht="15">
      <c r="B38" s="200" t="s">
        <v>400</v>
      </c>
      <c r="C38" s="201" t="s">
        <v>406</v>
      </c>
      <c r="D38" s="695">
        <f>'Cash Flow'!G47</f>
        <v>-6.7798361400119083</v>
      </c>
      <c r="E38" s="218"/>
      <c r="F38" s="709"/>
      <c r="G38" s="216"/>
      <c r="H38" s="214"/>
      <c r="I38" s="214"/>
      <c r="J38" s="214"/>
      <c r="K38" s="214"/>
      <c r="L38" s="216"/>
      <c r="M38" s="214"/>
      <c r="N38" s="214"/>
      <c r="O38" s="214"/>
    </row>
    <row r="39" spans="2:15">
      <c r="B39" s="200"/>
      <c r="C39" s="201"/>
      <c r="D39" s="213"/>
      <c r="E39" s="207"/>
      <c r="F39" s="706"/>
      <c r="G39" s="208"/>
      <c r="H39" s="213"/>
      <c r="I39" s="213"/>
      <c r="J39" s="213"/>
      <c r="K39" s="213"/>
      <c r="L39" s="309"/>
      <c r="M39" s="213"/>
      <c r="N39" s="213"/>
      <c r="O39" s="213"/>
    </row>
    <row r="40" spans="2:15" ht="15">
      <c r="B40" s="200" t="s">
        <v>444</v>
      </c>
      <c r="C40" s="217" t="s">
        <v>1</v>
      </c>
      <c r="D40" s="219">
        <f>Inputs!$G67</f>
        <v>0.6</v>
      </c>
      <c r="E40" s="220"/>
      <c r="F40" s="710"/>
      <c r="G40" s="221"/>
      <c r="H40" s="219"/>
      <c r="I40" s="219"/>
      <c r="J40" s="219"/>
      <c r="K40" s="219"/>
      <c r="L40" s="221"/>
      <c r="M40" s="219"/>
      <c r="N40" s="219"/>
      <c r="O40" s="219"/>
    </row>
    <row r="41" spans="2:15">
      <c r="B41" s="200" t="s">
        <v>263</v>
      </c>
      <c r="C41" s="201" t="s">
        <v>1</v>
      </c>
      <c r="D41" s="325">
        <f>Inputs!$G68</f>
        <v>0.12</v>
      </c>
      <c r="E41" s="220"/>
      <c r="F41" s="711"/>
      <c r="G41" s="221"/>
      <c r="H41" s="219"/>
      <c r="I41" s="219"/>
      <c r="J41" s="219"/>
      <c r="K41" s="219"/>
      <c r="L41" s="221"/>
      <c r="M41" s="219"/>
      <c r="N41" s="219"/>
      <c r="O41" s="219"/>
    </row>
    <row r="42" spans="2:15" ht="15">
      <c r="B42" s="200" t="s">
        <v>241</v>
      </c>
      <c r="C42" s="217" t="s">
        <v>1</v>
      </c>
      <c r="D42" s="219">
        <f>Inputs!$G57</f>
        <v>0.4</v>
      </c>
      <c r="E42" s="220"/>
      <c r="F42" s="710"/>
      <c r="G42" s="221"/>
      <c r="H42" s="219"/>
      <c r="I42" s="219"/>
      <c r="J42" s="219"/>
      <c r="K42" s="219"/>
      <c r="L42" s="221"/>
      <c r="M42" s="219"/>
      <c r="N42" s="219"/>
      <c r="O42" s="219"/>
    </row>
    <row r="43" spans="2:15" ht="15">
      <c r="B43" s="200" t="s">
        <v>401</v>
      </c>
      <c r="C43" s="217" t="s">
        <v>51</v>
      </c>
      <c r="D43" s="213">
        <f>IF(D42&gt;0%,Inputs!G58,"NA")</f>
        <v>13</v>
      </c>
      <c r="E43" s="220"/>
      <c r="F43" s="706"/>
      <c r="G43" s="221"/>
      <c r="H43" s="219"/>
      <c r="I43" s="219"/>
      <c r="J43" s="219"/>
      <c r="K43" s="219"/>
      <c r="L43" s="221"/>
      <c r="M43" s="219"/>
      <c r="N43" s="219"/>
      <c r="O43" s="219"/>
    </row>
    <row r="44" spans="2:15" ht="15">
      <c r="B44" s="200" t="s">
        <v>203</v>
      </c>
      <c r="C44" s="217" t="s">
        <v>1</v>
      </c>
      <c r="D44" s="325">
        <f>IF(D42&gt;0%,Inputs!$G59,"NA")</f>
        <v>7.0000000000000007E-2</v>
      </c>
      <c r="E44" s="220"/>
      <c r="F44" s="711"/>
      <c r="G44" s="221"/>
      <c r="H44" s="219"/>
      <c r="I44" s="219"/>
      <c r="J44" s="219"/>
      <c r="K44" s="219"/>
      <c r="L44" s="221"/>
      <c r="M44" s="219"/>
      <c r="N44" s="219"/>
      <c r="O44" s="219"/>
    </row>
    <row r="45" spans="2:15">
      <c r="B45" s="200" t="s">
        <v>15</v>
      </c>
      <c r="C45" s="690"/>
      <c r="D45" s="219" t="str">
        <f>Inputs!$G$79</f>
        <v>Yes</v>
      </c>
      <c r="E45" s="221"/>
      <c r="F45" s="710"/>
      <c r="G45" s="221"/>
      <c r="H45" s="219"/>
      <c r="I45" s="219"/>
      <c r="J45" s="219"/>
      <c r="K45" s="219"/>
      <c r="L45" s="221"/>
      <c r="M45" s="219"/>
      <c r="N45" s="219"/>
      <c r="O45" s="219"/>
    </row>
    <row r="46" spans="2:15">
      <c r="B46" s="200" t="s">
        <v>402</v>
      </c>
      <c r="C46" s="690"/>
      <c r="D46" s="219" t="str">
        <f>IF($D$45="Yes",Inputs!G81,"NA")</f>
        <v>As Generated</v>
      </c>
      <c r="E46" s="221"/>
      <c r="F46" s="710"/>
      <c r="G46" s="221"/>
      <c r="H46" s="219"/>
      <c r="I46" s="219"/>
      <c r="J46" s="219"/>
      <c r="K46" s="219"/>
      <c r="L46" s="221"/>
      <c r="M46" s="219"/>
      <c r="N46" s="219"/>
      <c r="O46" s="219"/>
    </row>
    <row r="47" spans="2:15">
      <c r="B47" s="200" t="s">
        <v>403</v>
      </c>
      <c r="C47" s="690"/>
      <c r="D47" s="219" t="str">
        <f>IF($D$45="Yes",Inputs!G83,"NA")</f>
        <v>As Generated</v>
      </c>
      <c r="E47" s="221"/>
      <c r="F47" s="710"/>
      <c r="G47" s="221"/>
      <c r="H47" s="219"/>
      <c r="I47" s="219"/>
      <c r="J47" s="219"/>
      <c r="K47" s="219"/>
      <c r="L47" s="221"/>
      <c r="M47" s="219"/>
      <c r="N47" s="219"/>
      <c r="O47" s="219"/>
    </row>
    <row r="48" spans="2:15">
      <c r="B48" s="692"/>
      <c r="C48" s="690"/>
      <c r="D48" s="219"/>
      <c r="E48" s="221"/>
      <c r="F48" s="710"/>
      <c r="G48" s="221"/>
      <c r="H48" s="219"/>
      <c r="I48" s="219"/>
      <c r="J48" s="219"/>
      <c r="K48" s="219"/>
      <c r="L48" s="221"/>
      <c r="M48" s="219"/>
      <c r="N48" s="219"/>
      <c r="O48" s="219"/>
    </row>
    <row r="49" spans="2:15">
      <c r="B49" s="200" t="s">
        <v>296</v>
      </c>
      <c r="C49" s="201"/>
      <c r="D49" s="214" t="str">
        <f>Inputs!Q24</f>
        <v>Cost-Based</v>
      </c>
      <c r="E49" s="221"/>
      <c r="F49" s="708"/>
      <c r="G49" s="221"/>
      <c r="H49" s="219"/>
      <c r="I49" s="219"/>
      <c r="J49" s="219"/>
      <c r="K49" s="219"/>
      <c r="L49" s="221"/>
      <c r="M49" s="219"/>
      <c r="N49" s="219"/>
      <c r="O49" s="219"/>
    </row>
    <row r="50" spans="2:15">
      <c r="B50" s="200" t="s">
        <v>397</v>
      </c>
      <c r="C50" s="201"/>
      <c r="D50" s="214" t="str">
        <f>IF($D$49="Cost-Based",Inputs!$Q$25,Inputs!$Q$29)</f>
        <v>ITC</v>
      </c>
      <c r="E50" s="221"/>
      <c r="F50" s="708"/>
      <c r="G50" s="221"/>
      <c r="H50" s="219"/>
      <c r="I50" s="219"/>
      <c r="J50" s="219"/>
      <c r="K50" s="219"/>
      <c r="L50" s="221"/>
      <c r="M50" s="219"/>
      <c r="N50" s="219"/>
      <c r="O50" s="219"/>
    </row>
    <row r="51" spans="2:15">
      <c r="B51" s="200"/>
      <c r="C51" s="201"/>
      <c r="D51" s="214"/>
      <c r="E51" s="221"/>
      <c r="F51" s="708"/>
      <c r="G51" s="221"/>
      <c r="H51" s="219"/>
      <c r="I51" s="219"/>
      <c r="J51" s="219"/>
      <c r="K51" s="219"/>
      <c r="L51" s="221"/>
      <c r="M51" s="219"/>
      <c r="N51" s="219"/>
      <c r="O51" s="219"/>
    </row>
    <row r="52" spans="2:15">
      <c r="B52" s="200" t="s">
        <v>173</v>
      </c>
      <c r="C52" s="223"/>
      <c r="D52" s="213" t="str">
        <f>IF(AND(Inputs!$Q$34=0,Inputs!$Q$50=0),"No","Yes")</f>
        <v>No</v>
      </c>
      <c r="E52" s="221"/>
      <c r="F52" s="706"/>
      <c r="G52" s="221"/>
      <c r="H52" s="219"/>
      <c r="I52" s="219"/>
      <c r="J52" s="219"/>
      <c r="K52" s="219"/>
      <c r="L52" s="221"/>
      <c r="M52" s="219"/>
      <c r="N52" s="219"/>
      <c r="O52" s="219"/>
    </row>
    <row r="53" spans="2:15">
      <c r="B53" s="336" t="s">
        <v>404</v>
      </c>
      <c r="C53" s="201" t="s">
        <v>0</v>
      </c>
      <c r="D53" s="214" t="str">
        <f>IF(D52="No","NA",Inputs!$G$75)</f>
        <v>NA</v>
      </c>
      <c r="E53" s="221"/>
      <c r="F53" s="708"/>
      <c r="G53" s="221"/>
      <c r="H53" s="219"/>
      <c r="I53" s="219"/>
      <c r="J53" s="219"/>
      <c r="K53" s="219"/>
      <c r="L53" s="221"/>
      <c r="M53" s="219"/>
      <c r="N53" s="219"/>
      <c r="O53" s="219"/>
    </row>
    <row r="54" spans="2:15">
      <c r="B54" s="336"/>
      <c r="C54" s="201"/>
      <c r="D54" s="214"/>
      <c r="E54" s="221"/>
      <c r="F54" s="708"/>
      <c r="G54" s="221"/>
      <c r="H54" s="219"/>
      <c r="I54" s="219"/>
      <c r="J54" s="219"/>
      <c r="K54" s="219"/>
      <c r="L54" s="221"/>
      <c r="M54" s="219"/>
      <c r="N54" s="219"/>
      <c r="O54" s="219"/>
    </row>
    <row r="55" spans="2:15">
      <c r="B55" s="693" t="s">
        <v>405</v>
      </c>
      <c r="C55" s="183"/>
      <c r="D55" s="222" t="str">
        <f>IF(Inputs!$G$79="No","NA",Inputs!P80)</f>
        <v>No</v>
      </c>
      <c r="E55" s="223"/>
      <c r="F55" s="712"/>
      <c r="G55" s="675"/>
      <c r="H55" s="222"/>
      <c r="I55" s="222"/>
      <c r="J55" s="222"/>
      <c r="K55" s="222"/>
      <c r="L55" s="675"/>
      <c r="M55" s="222"/>
      <c r="N55" s="222"/>
      <c r="O55" s="222"/>
    </row>
    <row r="56" spans="2:15" ht="150.75" customHeight="1">
      <c r="B56" s="447" t="s">
        <v>352</v>
      </c>
      <c r="C56" s="448"/>
      <c r="D56" s="338"/>
      <c r="F56" s="338"/>
      <c r="G56" s="338"/>
      <c r="H56" s="338"/>
      <c r="I56" s="338"/>
      <c r="J56" s="338"/>
      <c r="K56" s="338"/>
      <c r="L56" s="338"/>
      <c r="M56" s="338"/>
      <c r="N56" s="338"/>
      <c r="O56" s="338"/>
    </row>
    <row r="57" spans="2:15" ht="30" customHeight="1">
      <c r="B57" s="248"/>
      <c r="C57" s="248"/>
      <c r="D57" s="248"/>
      <c r="E57" s="248"/>
      <c r="F57" s="248"/>
      <c r="G57" s="248"/>
      <c r="H57" s="248"/>
      <c r="I57" s="248"/>
      <c r="J57" s="248"/>
    </row>
    <row r="58" spans="2:15" s="249" customFormat="1" ht="18">
      <c r="B58" s="248"/>
      <c r="C58" s="248"/>
      <c r="D58" s="250"/>
      <c r="E58" s="248"/>
      <c r="F58" s="248"/>
      <c r="G58" s="248"/>
      <c r="H58" s="248"/>
      <c r="I58" s="248"/>
      <c r="J58" s="248"/>
    </row>
    <row r="59" spans="2:15">
      <c r="B59" s="223"/>
      <c r="C59" s="223"/>
      <c r="D59" s="805"/>
      <c r="E59" s="805"/>
      <c r="F59" s="805"/>
      <c r="G59" s="805"/>
      <c r="H59" s="805"/>
      <c r="I59" s="805"/>
      <c r="J59" s="251"/>
      <c r="K59" s="223"/>
    </row>
    <row r="60" spans="2:15">
      <c r="B60" s="223"/>
      <c r="C60" s="245"/>
      <c r="D60" s="246"/>
      <c r="E60" s="246"/>
      <c r="F60" s="246"/>
      <c r="G60" s="246"/>
      <c r="H60" s="246"/>
      <c r="I60" s="246"/>
      <c r="J60" s="246"/>
      <c r="K60" s="223"/>
    </row>
    <row r="61" spans="2:15">
      <c r="B61" s="804"/>
      <c r="C61" s="247"/>
      <c r="D61" s="223"/>
      <c r="E61" s="223"/>
      <c r="F61" s="223"/>
      <c r="G61" s="223"/>
      <c r="H61" s="223"/>
      <c r="I61" s="223"/>
      <c r="J61" s="223"/>
      <c r="K61" s="223"/>
    </row>
    <row r="62" spans="2:15">
      <c r="B62" s="804"/>
      <c r="C62" s="247"/>
      <c r="D62" s="223"/>
      <c r="E62" s="223"/>
      <c r="F62" s="223"/>
      <c r="G62" s="223"/>
      <c r="H62" s="223"/>
      <c r="I62" s="223"/>
      <c r="J62" s="223"/>
      <c r="K62" s="223"/>
    </row>
    <row r="63" spans="2:15">
      <c r="B63" s="804"/>
      <c r="C63" s="247"/>
      <c r="D63" s="223"/>
      <c r="E63" s="223"/>
      <c r="F63" s="223"/>
      <c r="G63" s="223"/>
      <c r="H63" s="223"/>
      <c r="I63" s="223"/>
      <c r="J63" s="223"/>
      <c r="K63" s="223"/>
    </row>
    <row r="64" spans="2:15">
      <c r="B64" s="804"/>
      <c r="C64" s="247"/>
      <c r="D64" s="223"/>
      <c r="E64" s="223"/>
      <c r="F64" s="223"/>
      <c r="G64" s="223"/>
      <c r="H64" s="223"/>
      <c r="I64" s="223"/>
      <c r="J64" s="223"/>
      <c r="K64" s="223"/>
    </row>
    <row r="65" spans="2:11">
      <c r="B65" s="804"/>
      <c r="C65" s="247"/>
      <c r="D65" s="223"/>
      <c r="E65" s="223"/>
      <c r="F65" s="223"/>
      <c r="G65" s="223"/>
      <c r="H65" s="223"/>
      <c r="I65" s="223"/>
      <c r="J65" s="223"/>
      <c r="K65" s="223"/>
    </row>
    <row r="66" spans="2:11">
      <c r="B66" s="223"/>
      <c r="C66" s="223"/>
      <c r="D66" s="223"/>
      <c r="E66" s="223"/>
      <c r="F66" s="223"/>
      <c r="G66" s="223"/>
      <c r="H66" s="223"/>
      <c r="I66" s="223"/>
      <c r="J66" s="223"/>
      <c r="K66" s="223"/>
    </row>
    <row r="67" spans="2:11">
      <c r="B67" s="223"/>
      <c r="C67" s="223"/>
      <c r="D67" s="223"/>
      <c r="E67" s="223"/>
      <c r="F67" s="223"/>
      <c r="G67" s="223"/>
      <c r="H67" s="223"/>
      <c r="I67" s="223"/>
      <c r="J67" s="223"/>
      <c r="K67" s="223"/>
    </row>
    <row r="68" spans="2:11">
      <c r="B68" s="223"/>
      <c r="C68" s="223"/>
      <c r="D68" s="223"/>
      <c r="E68" s="223"/>
      <c r="F68" s="223"/>
      <c r="G68" s="223"/>
      <c r="H68" s="223"/>
      <c r="I68" s="223"/>
      <c r="J68" s="223"/>
      <c r="K68" s="223"/>
    </row>
    <row r="69" spans="2:11" ht="15.75" customHeight="1">
      <c r="B69" s="223"/>
      <c r="C69" s="223"/>
      <c r="D69" s="223"/>
      <c r="E69" s="223"/>
      <c r="F69" s="223"/>
      <c r="G69" s="223"/>
      <c r="H69" s="223"/>
      <c r="I69" s="223"/>
      <c r="J69" s="223"/>
      <c r="K69" s="223"/>
    </row>
    <row r="70" spans="2:11">
      <c r="B70" s="223"/>
      <c r="C70" s="223"/>
      <c r="D70" s="223"/>
      <c r="E70" s="223"/>
      <c r="F70" s="223"/>
      <c r="G70" s="223"/>
      <c r="H70" s="223"/>
      <c r="I70" s="223"/>
      <c r="J70" s="223"/>
      <c r="K70" s="223"/>
    </row>
    <row r="71" spans="2:11">
      <c r="B71" s="223"/>
      <c r="C71" s="223"/>
      <c r="D71" s="223"/>
      <c r="E71" s="223"/>
      <c r="F71" s="223"/>
      <c r="G71" s="223"/>
      <c r="H71" s="223"/>
      <c r="I71" s="223"/>
      <c r="J71" s="223"/>
      <c r="K71" s="223"/>
    </row>
    <row r="72" spans="2:11">
      <c r="B72" s="223"/>
      <c r="C72" s="223"/>
      <c r="D72" s="223"/>
      <c r="E72" s="223"/>
      <c r="F72" s="223"/>
      <c r="G72" s="223"/>
      <c r="H72" s="223"/>
      <c r="I72" s="223"/>
      <c r="J72" s="223"/>
      <c r="K72" s="223"/>
    </row>
    <row r="73" spans="2:11">
      <c r="B73" s="223"/>
      <c r="C73" s="223"/>
      <c r="D73" s="223"/>
      <c r="E73" s="223"/>
      <c r="F73" s="223"/>
      <c r="G73" s="223"/>
      <c r="H73" s="223"/>
      <c r="I73" s="223"/>
      <c r="J73" s="223"/>
      <c r="K73" s="223"/>
    </row>
    <row r="74" spans="2:11">
      <c r="B74" s="223"/>
      <c r="C74" s="223"/>
      <c r="D74" s="223"/>
      <c r="E74" s="223"/>
      <c r="F74" s="223"/>
      <c r="G74" s="223"/>
      <c r="H74" s="223"/>
      <c r="I74" s="223"/>
      <c r="J74" s="223"/>
      <c r="K74" s="223"/>
    </row>
    <row r="75" spans="2:11">
      <c r="B75" s="223"/>
      <c r="C75" s="223"/>
      <c r="D75" s="223"/>
      <c r="E75" s="223"/>
      <c r="F75" s="223"/>
      <c r="G75" s="223"/>
      <c r="H75" s="223"/>
      <c r="I75" s="223"/>
      <c r="J75" s="223"/>
      <c r="K75" s="223"/>
    </row>
  </sheetData>
  <protectedRanges>
    <protectedRange sqref="F6:O6" name="Scenario Names"/>
    <protectedRange sqref="D56 F7:O56" name="InputsOutputs"/>
  </protectedRanges>
  <mergeCells count="5">
    <mergeCell ref="B3:J3"/>
    <mergeCell ref="B61:B65"/>
    <mergeCell ref="D59:I59"/>
    <mergeCell ref="F5:J5"/>
    <mergeCell ref="B5:D5"/>
  </mergeCells>
  <conditionalFormatting sqref="D10">
    <cfRule type="expression" dxfId="8" priority="9">
      <formula>$D10="Yes"</formula>
    </cfRule>
  </conditionalFormatting>
  <conditionalFormatting sqref="D11">
    <cfRule type="expression" dxfId="7" priority="7">
      <formula>$D11="Yes"</formula>
    </cfRule>
  </conditionalFormatting>
  <conditionalFormatting sqref="B10:C10">
    <cfRule type="expression" dxfId="6" priority="6">
      <formula>$D$10="Yes"</formula>
    </cfRule>
  </conditionalFormatting>
  <conditionalFormatting sqref="B11:C11">
    <cfRule type="expression" dxfId="5" priority="5">
      <formula>$D$11="Yes"</formula>
    </cfRule>
  </conditionalFormatting>
  <pageMargins left="0.7" right="0.7" top="0.75" bottom="0.75" header="0.3" footer="0.3"/>
  <pageSetup orientation="portrait" horizontalDpi="4294967293" verticalDpi="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1:S38"/>
  <sheetViews>
    <sheetView showGridLines="0" zoomScale="70" zoomScaleNormal="70" workbookViewId="0">
      <pane xSplit="1" ySplit="5" topLeftCell="B6" activePane="bottomRight" state="frozen"/>
      <selection pane="topRight" activeCell="B1" sqref="B1"/>
      <selection pane="bottomLeft" activeCell="A6" sqref="A6"/>
      <selection pane="bottomRight" activeCell="I33" sqref="I33"/>
    </sheetView>
  </sheetViews>
  <sheetFormatPr baseColWidth="10" defaultColWidth="8.83203125" defaultRowHeight="14"/>
  <cols>
    <col min="1" max="1" width="2.5" style="160" customWidth="1"/>
    <col min="2" max="2" width="9.6640625" style="160" customWidth="1"/>
    <col min="3" max="3" width="15" style="160" customWidth="1"/>
    <col min="4" max="6" width="15.6640625" style="160" customWidth="1"/>
    <col min="7" max="7" width="15.6640625" style="161" customWidth="1"/>
    <col min="8" max="14" width="15.6640625" style="160" customWidth="1"/>
    <col min="15" max="15" width="11.5" style="160" customWidth="1"/>
    <col min="16" max="16" width="11.1640625" style="160" customWidth="1"/>
    <col min="17" max="17" width="9.1640625" style="160"/>
    <col min="18" max="18" width="24.83203125" style="160" bestFit="1" customWidth="1"/>
    <col min="19" max="19" width="29.33203125" style="160" bestFit="1" customWidth="1"/>
    <col min="20" max="235" width="9.1640625" style="160"/>
    <col min="236" max="236" width="21.5" style="160" customWidth="1"/>
    <col min="237" max="237" width="16.5" style="160" customWidth="1"/>
    <col min="238" max="238" width="18" style="160" customWidth="1"/>
    <col min="239" max="239" width="23.6640625" style="160" customWidth="1"/>
    <col min="240" max="240" width="26" style="160" customWidth="1"/>
    <col min="241" max="241" width="21.5" style="160" customWidth="1"/>
    <col min="242" max="242" width="20.83203125" style="160" customWidth="1"/>
    <col min="243" max="243" width="0" style="160" hidden="1" customWidth="1"/>
    <col min="244" max="491" width="9.1640625" style="160"/>
    <col min="492" max="492" width="21.5" style="160" customWidth="1"/>
    <col min="493" max="493" width="16.5" style="160" customWidth="1"/>
    <col min="494" max="494" width="18" style="160" customWidth="1"/>
    <col min="495" max="495" width="23.6640625" style="160" customWidth="1"/>
    <col min="496" max="496" width="26" style="160" customWidth="1"/>
    <col min="497" max="497" width="21.5" style="160" customWidth="1"/>
    <col min="498" max="498" width="20.83203125" style="160" customWidth="1"/>
    <col min="499" max="499" width="0" style="160" hidden="1" customWidth="1"/>
    <col min="500" max="747" width="9.1640625" style="160"/>
    <col min="748" max="748" width="21.5" style="160" customWidth="1"/>
    <col min="749" max="749" width="16.5" style="160" customWidth="1"/>
    <col min="750" max="750" width="18" style="160" customWidth="1"/>
    <col min="751" max="751" width="23.6640625" style="160" customWidth="1"/>
    <col min="752" max="752" width="26" style="160" customWidth="1"/>
    <col min="753" max="753" width="21.5" style="160" customWidth="1"/>
    <col min="754" max="754" width="20.83203125" style="160" customWidth="1"/>
    <col min="755" max="755" width="0" style="160" hidden="1" customWidth="1"/>
    <col min="756" max="1003" width="9.1640625" style="160"/>
    <col min="1004" max="1004" width="21.5" style="160" customWidth="1"/>
    <col min="1005" max="1005" width="16.5" style="160" customWidth="1"/>
    <col min="1006" max="1006" width="18" style="160" customWidth="1"/>
    <col min="1007" max="1007" width="23.6640625" style="160" customWidth="1"/>
    <col min="1008" max="1008" width="26" style="160" customWidth="1"/>
    <col min="1009" max="1009" width="21.5" style="160" customWidth="1"/>
    <col min="1010" max="1010" width="20.83203125" style="160" customWidth="1"/>
    <col min="1011" max="1011" width="0" style="160" hidden="1" customWidth="1"/>
    <col min="1012" max="1259" width="9.1640625" style="160"/>
    <col min="1260" max="1260" width="21.5" style="160" customWidth="1"/>
    <col min="1261" max="1261" width="16.5" style="160" customWidth="1"/>
    <col min="1262" max="1262" width="18" style="160" customWidth="1"/>
    <col min="1263" max="1263" width="23.6640625" style="160" customWidth="1"/>
    <col min="1264" max="1264" width="26" style="160" customWidth="1"/>
    <col min="1265" max="1265" width="21.5" style="160" customWidth="1"/>
    <col min="1266" max="1266" width="20.83203125" style="160" customWidth="1"/>
    <col min="1267" max="1267" width="0" style="160" hidden="1" customWidth="1"/>
    <col min="1268" max="1515" width="9.1640625" style="160"/>
    <col min="1516" max="1516" width="21.5" style="160" customWidth="1"/>
    <col min="1517" max="1517" width="16.5" style="160" customWidth="1"/>
    <col min="1518" max="1518" width="18" style="160" customWidth="1"/>
    <col min="1519" max="1519" width="23.6640625" style="160" customWidth="1"/>
    <col min="1520" max="1520" width="26" style="160" customWidth="1"/>
    <col min="1521" max="1521" width="21.5" style="160" customWidth="1"/>
    <col min="1522" max="1522" width="20.83203125" style="160" customWidth="1"/>
    <col min="1523" max="1523" width="0" style="160" hidden="1" customWidth="1"/>
    <col min="1524" max="1771" width="9.1640625" style="160"/>
    <col min="1772" max="1772" width="21.5" style="160" customWidth="1"/>
    <col min="1773" max="1773" width="16.5" style="160" customWidth="1"/>
    <col min="1774" max="1774" width="18" style="160" customWidth="1"/>
    <col min="1775" max="1775" width="23.6640625" style="160" customWidth="1"/>
    <col min="1776" max="1776" width="26" style="160" customWidth="1"/>
    <col min="1777" max="1777" width="21.5" style="160" customWidth="1"/>
    <col min="1778" max="1778" width="20.83203125" style="160" customWidth="1"/>
    <col min="1779" max="1779" width="0" style="160" hidden="1" customWidth="1"/>
    <col min="1780" max="2027" width="9.1640625" style="160"/>
    <col min="2028" max="2028" width="21.5" style="160" customWidth="1"/>
    <col min="2029" max="2029" width="16.5" style="160" customWidth="1"/>
    <col min="2030" max="2030" width="18" style="160" customWidth="1"/>
    <col min="2031" max="2031" width="23.6640625" style="160" customWidth="1"/>
    <col min="2032" max="2032" width="26" style="160" customWidth="1"/>
    <col min="2033" max="2033" width="21.5" style="160" customWidth="1"/>
    <col min="2034" max="2034" width="20.83203125" style="160" customWidth="1"/>
    <col min="2035" max="2035" width="0" style="160" hidden="1" customWidth="1"/>
    <col min="2036" max="2283" width="9.1640625" style="160"/>
    <col min="2284" max="2284" width="21.5" style="160" customWidth="1"/>
    <col min="2285" max="2285" width="16.5" style="160" customWidth="1"/>
    <col min="2286" max="2286" width="18" style="160" customWidth="1"/>
    <col min="2287" max="2287" width="23.6640625" style="160" customWidth="1"/>
    <col min="2288" max="2288" width="26" style="160" customWidth="1"/>
    <col min="2289" max="2289" width="21.5" style="160" customWidth="1"/>
    <col min="2290" max="2290" width="20.83203125" style="160" customWidth="1"/>
    <col min="2291" max="2291" width="0" style="160" hidden="1" customWidth="1"/>
    <col min="2292" max="2539" width="9.1640625" style="160"/>
    <col min="2540" max="2540" width="21.5" style="160" customWidth="1"/>
    <col min="2541" max="2541" width="16.5" style="160" customWidth="1"/>
    <col min="2542" max="2542" width="18" style="160" customWidth="1"/>
    <col min="2543" max="2543" width="23.6640625" style="160" customWidth="1"/>
    <col min="2544" max="2544" width="26" style="160" customWidth="1"/>
    <col min="2545" max="2545" width="21.5" style="160" customWidth="1"/>
    <col min="2546" max="2546" width="20.83203125" style="160" customWidth="1"/>
    <col min="2547" max="2547" width="0" style="160" hidden="1" customWidth="1"/>
    <col min="2548" max="2795" width="9.1640625" style="160"/>
    <col min="2796" max="2796" width="21.5" style="160" customWidth="1"/>
    <col min="2797" max="2797" width="16.5" style="160" customWidth="1"/>
    <col min="2798" max="2798" width="18" style="160" customWidth="1"/>
    <col min="2799" max="2799" width="23.6640625" style="160" customWidth="1"/>
    <col min="2800" max="2800" width="26" style="160" customWidth="1"/>
    <col min="2801" max="2801" width="21.5" style="160" customWidth="1"/>
    <col min="2802" max="2802" width="20.83203125" style="160" customWidth="1"/>
    <col min="2803" max="2803" width="0" style="160" hidden="1" customWidth="1"/>
    <col min="2804" max="3051" width="9.1640625" style="160"/>
    <col min="3052" max="3052" width="21.5" style="160" customWidth="1"/>
    <col min="3053" max="3053" width="16.5" style="160" customWidth="1"/>
    <col min="3054" max="3054" width="18" style="160" customWidth="1"/>
    <col min="3055" max="3055" width="23.6640625" style="160" customWidth="1"/>
    <col min="3056" max="3056" width="26" style="160" customWidth="1"/>
    <col min="3057" max="3057" width="21.5" style="160" customWidth="1"/>
    <col min="3058" max="3058" width="20.83203125" style="160" customWidth="1"/>
    <col min="3059" max="3059" width="0" style="160" hidden="1" customWidth="1"/>
    <col min="3060" max="3307" width="9.1640625" style="160"/>
    <col min="3308" max="3308" width="21.5" style="160" customWidth="1"/>
    <col min="3309" max="3309" width="16.5" style="160" customWidth="1"/>
    <col min="3310" max="3310" width="18" style="160" customWidth="1"/>
    <col min="3311" max="3311" width="23.6640625" style="160" customWidth="1"/>
    <col min="3312" max="3312" width="26" style="160" customWidth="1"/>
    <col min="3313" max="3313" width="21.5" style="160" customWidth="1"/>
    <col min="3314" max="3314" width="20.83203125" style="160" customWidth="1"/>
    <col min="3315" max="3315" width="0" style="160" hidden="1" customWidth="1"/>
    <col min="3316" max="3563" width="9.1640625" style="160"/>
    <col min="3564" max="3564" width="21.5" style="160" customWidth="1"/>
    <col min="3565" max="3565" width="16.5" style="160" customWidth="1"/>
    <col min="3566" max="3566" width="18" style="160" customWidth="1"/>
    <col min="3567" max="3567" width="23.6640625" style="160" customWidth="1"/>
    <col min="3568" max="3568" width="26" style="160" customWidth="1"/>
    <col min="3569" max="3569" width="21.5" style="160" customWidth="1"/>
    <col min="3570" max="3570" width="20.83203125" style="160" customWidth="1"/>
    <col min="3571" max="3571" width="0" style="160" hidden="1" customWidth="1"/>
    <col min="3572" max="3819" width="9.1640625" style="160"/>
    <col min="3820" max="3820" width="21.5" style="160" customWidth="1"/>
    <col min="3821" max="3821" width="16.5" style="160" customWidth="1"/>
    <col min="3822" max="3822" width="18" style="160" customWidth="1"/>
    <col min="3823" max="3823" width="23.6640625" style="160" customWidth="1"/>
    <col min="3824" max="3824" width="26" style="160" customWidth="1"/>
    <col min="3825" max="3825" width="21.5" style="160" customWidth="1"/>
    <col min="3826" max="3826" width="20.83203125" style="160" customWidth="1"/>
    <col min="3827" max="3827" width="0" style="160" hidden="1" customWidth="1"/>
    <col min="3828" max="4075" width="9.1640625" style="160"/>
    <col min="4076" max="4076" width="21.5" style="160" customWidth="1"/>
    <col min="4077" max="4077" width="16.5" style="160" customWidth="1"/>
    <col min="4078" max="4078" width="18" style="160" customWidth="1"/>
    <col min="4079" max="4079" width="23.6640625" style="160" customWidth="1"/>
    <col min="4080" max="4080" width="26" style="160" customWidth="1"/>
    <col min="4081" max="4081" width="21.5" style="160" customWidth="1"/>
    <col min="4082" max="4082" width="20.83203125" style="160" customWidth="1"/>
    <col min="4083" max="4083" width="0" style="160" hidden="1" customWidth="1"/>
    <col min="4084" max="4331" width="9.1640625" style="160"/>
    <col min="4332" max="4332" width="21.5" style="160" customWidth="1"/>
    <col min="4333" max="4333" width="16.5" style="160" customWidth="1"/>
    <col min="4334" max="4334" width="18" style="160" customWidth="1"/>
    <col min="4335" max="4335" width="23.6640625" style="160" customWidth="1"/>
    <col min="4336" max="4336" width="26" style="160" customWidth="1"/>
    <col min="4337" max="4337" width="21.5" style="160" customWidth="1"/>
    <col min="4338" max="4338" width="20.83203125" style="160" customWidth="1"/>
    <col min="4339" max="4339" width="0" style="160" hidden="1" customWidth="1"/>
    <col min="4340" max="4587" width="9.1640625" style="160"/>
    <col min="4588" max="4588" width="21.5" style="160" customWidth="1"/>
    <col min="4589" max="4589" width="16.5" style="160" customWidth="1"/>
    <col min="4590" max="4590" width="18" style="160" customWidth="1"/>
    <col min="4591" max="4591" width="23.6640625" style="160" customWidth="1"/>
    <col min="4592" max="4592" width="26" style="160" customWidth="1"/>
    <col min="4593" max="4593" width="21.5" style="160" customWidth="1"/>
    <col min="4594" max="4594" width="20.83203125" style="160" customWidth="1"/>
    <col min="4595" max="4595" width="0" style="160" hidden="1" customWidth="1"/>
    <col min="4596" max="4843" width="9.1640625" style="160"/>
    <col min="4844" max="4844" width="21.5" style="160" customWidth="1"/>
    <col min="4845" max="4845" width="16.5" style="160" customWidth="1"/>
    <col min="4846" max="4846" width="18" style="160" customWidth="1"/>
    <col min="4847" max="4847" width="23.6640625" style="160" customWidth="1"/>
    <col min="4848" max="4848" width="26" style="160" customWidth="1"/>
    <col min="4849" max="4849" width="21.5" style="160" customWidth="1"/>
    <col min="4850" max="4850" width="20.83203125" style="160" customWidth="1"/>
    <col min="4851" max="4851" width="0" style="160" hidden="1" customWidth="1"/>
    <col min="4852" max="5099" width="9.1640625" style="160"/>
    <col min="5100" max="5100" width="21.5" style="160" customWidth="1"/>
    <col min="5101" max="5101" width="16.5" style="160" customWidth="1"/>
    <col min="5102" max="5102" width="18" style="160" customWidth="1"/>
    <col min="5103" max="5103" width="23.6640625" style="160" customWidth="1"/>
    <col min="5104" max="5104" width="26" style="160" customWidth="1"/>
    <col min="5105" max="5105" width="21.5" style="160" customWidth="1"/>
    <col min="5106" max="5106" width="20.83203125" style="160" customWidth="1"/>
    <col min="5107" max="5107" width="0" style="160" hidden="1" customWidth="1"/>
    <col min="5108" max="5355" width="9.1640625" style="160"/>
    <col min="5356" max="5356" width="21.5" style="160" customWidth="1"/>
    <col min="5357" max="5357" width="16.5" style="160" customWidth="1"/>
    <col min="5358" max="5358" width="18" style="160" customWidth="1"/>
    <col min="5359" max="5359" width="23.6640625" style="160" customWidth="1"/>
    <col min="5360" max="5360" width="26" style="160" customWidth="1"/>
    <col min="5361" max="5361" width="21.5" style="160" customWidth="1"/>
    <col min="5362" max="5362" width="20.83203125" style="160" customWidth="1"/>
    <col min="5363" max="5363" width="0" style="160" hidden="1" customWidth="1"/>
    <col min="5364" max="5611" width="9.1640625" style="160"/>
    <col min="5612" max="5612" width="21.5" style="160" customWidth="1"/>
    <col min="5613" max="5613" width="16.5" style="160" customWidth="1"/>
    <col min="5614" max="5614" width="18" style="160" customWidth="1"/>
    <col min="5615" max="5615" width="23.6640625" style="160" customWidth="1"/>
    <col min="5616" max="5616" width="26" style="160" customWidth="1"/>
    <col min="5617" max="5617" width="21.5" style="160" customWidth="1"/>
    <col min="5618" max="5618" width="20.83203125" style="160" customWidth="1"/>
    <col min="5619" max="5619" width="0" style="160" hidden="1" customWidth="1"/>
    <col min="5620" max="5867" width="9.1640625" style="160"/>
    <col min="5868" max="5868" width="21.5" style="160" customWidth="1"/>
    <col min="5869" max="5869" width="16.5" style="160" customWidth="1"/>
    <col min="5870" max="5870" width="18" style="160" customWidth="1"/>
    <col min="5871" max="5871" width="23.6640625" style="160" customWidth="1"/>
    <col min="5872" max="5872" width="26" style="160" customWidth="1"/>
    <col min="5873" max="5873" width="21.5" style="160" customWidth="1"/>
    <col min="5874" max="5874" width="20.83203125" style="160" customWidth="1"/>
    <col min="5875" max="5875" width="0" style="160" hidden="1" customWidth="1"/>
    <col min="5876" max="6123" width="9.1640625" style="160"/>
    <col min="6124" max="6124" width="21.5" style="160" customWidth="1"/>
    <col min="6125" max="6125" width="16.5" style="160" customWidth="1"/>
    <col min="6126" max="6126" width="18" style="160" customWidth="1"/>
    <col min="6127" max="6127" width="23.6640625" style="160" customWidth="1"/>
    <col min="6128" max="6128" width="26" style="160" customWidth="1"/>
    <col min="6129" max="6129" width="21.5" style="160" customWidth="1"/>
    <col min="6130" max="6130" width="20.83203125" style="160" customWidth="1"/>
    <col min="6131" max="6131" width="0" style="160" hidden="1" customWidth="1"/>
    <col min="6132" max="6379" width="9.1640625" style="160"/>
    <col min="6380" max="6380" width="21.5" style="160" customWidth="1"/>
    <col min="6381" max="6381" width="16.5" style="160" customWidth="1"/>
    <col min="6382" max="6382" width="18" style="160" customWidth="1"/>
    <col min="6383" max="6383" width="23.6640625" style="160" customWidth="1"/>
    <col min="6384" max="6384" width="26" style="160" customWidth="1"/>
    <col min="6385" max="6385" width="21.5" style="160" customWidth="1"/>
    <col min="6386" max="6386" width="20.83203125" style="160" customWidth="1"/>
    <col min="6387" max="6387" width="0" style="160" hidden="1" customWidth="1"/>
    <col min="6388" max="6635" width="9.1640625" style="160"/>
    <col min="6636" max="6636" width="21.5" style="160" customWidth="1"/>
    <col min="6637" max="6637" width="16.5" style="160" customWidth="1"/>
    <col min="6638" max="6638" width="18" style="160" customWidth="1"/>
    <col min="6639" max="6639" width="23.6640625" style="160" customWidth="1"/>
    <col min="6640" max="6640" width="26" style="160" customWidth="1"/>
    <col min="6641" max="6641" width="21.5" style="160" customWidth="1"/>
    <col min="6642" max="6642" width="20.83203125" style="160" customWidth="1"/>
    <col min="6643" max="6643" width="0" style="160" hidden="1" customWidth="1"/>
    <col min="6644" max="6891" width="9.1640625" style="160"/>
    <col min="6892" max="6892" width="21.5" style="160" customWidth="1"/>
    <col min="6893" max="6893" width="16.5" style="160" customWidth="1"/>
    <col min="6894" max="6894" width="18" style="160" customWidth="1"/>
    <col min="6895" max="6895" width="23.6640625" style="160" customWidth="1"/>
    <col min="6896" max="6896" width="26" style="160" customWidth="1"/>
    <col min="6897" max="6897" width="21.5" style="160" customWidth="1"/>
    <col min="6898" max="6898" width="20.83203125" style="160" customWidth="1"/>
    <col min="6899" max="6899" width="0" style="160" hidden="1" customWidth="1"/>
    <col min="6900" max="7147" width="9.1640625" style="160"/>
    <col min="7148" max="7148" width="21.5" style="160" customWidth="1"/>
    <col min="7149" max="7149" width="16.5" style="160" customWidth="1"/>
    <col min="7150" max="7150" width="18" style="160" customWidth="1"/>
    <col min="7151" max="7151" width="23.6640625" style="160" customWidth="1"/>
    <col min="7152" max="7152" width="26" style="160" customWidth="1"/>
    <col min="7153" max="7153" width="21.5" style="160" customWidth="1"/>
    <col min="7154" max="7154" width="20.83203125" style="160" customWidth="1"/>
    <col min="7155" max="7155" width="0" style="160" hidden="1" customWidth="1"/>
    <col min="7156" max="7403" width="9.1640625" style="160"/>
    <col min="7404" max="7404" width="21.5" style="160" customWidth="1"/>
    <col min="7405" max="7405" width="16.5" style="160" customWidth="1"/>
    <col min="7406" max="7406" width="18" style="160" customWidth="1"/>
    <col min="7407" max="7407" width="23.6640625" style="160" customWidth="1"/>
    <col min="7408" max="7408" width="26" style="160" customWidth="1"/>
    <col min="7409" max="7409" width="21.5" style="160" customWidth="1"/>
    <col min="7410" max="7410" width="20.83203125" style="160" customWidth="1"/>
    <col min="7411" max="7411" width="0" style="160" hidden="1" customWidth="1"/>
    <col min="7412" max="7659" width="9.1640625" style="160"/>
    <col min="7660" max="7660" width="21.5" style="160" customWidth="1"/>
    <col min="7661" max="7661" width="16.5" style="160" customWidth="1"/>
    <col min="7662" max="7662" width="18" style="160" customWidth="1"/>
    <col min="7663" max="7663" width="23.6640625" style="160" customWidth="1"/>
    <col min="7664" max="7664" width="26" style="160" customWidth="1"/>
    <col min="7665" max="7665" width="21.5" style="160" customWidth="1"/>
    <col min="7666" max="7666" width="20.83203125" style="160" customWidth="1"/>
    <col min="7667" max="7667" width="0" style="160" hidden="1" customWidth="1"/>
    <col min="7668" max="7915" width="9.1640625" style="160"/>
    <col min="7916" max="7916" width="21.5" style="160" customWidth="1"/>
    <col min="7917" max="7917" width="16.5" style="160" customWidth="1"/>
    <col min="7918" max="7918" width="18" style="160" customWidth="1"/>
    <col min="7919" max="7919" width="23.6640625" style="160" customWidth="1"/>
    <col min="7920" max="7920" width="26" style="160" customWidth="1"/>
    <col min="7921" max="7921" width="21.5" style="160" customWidth="1"/>
    <col min="7922" max="7922" width="20.83203125" style="160" customWidth="1"/>
    <col min="7923" max="7923" width="0" style="160" hidden="1" customWidth="1"/>
    <col min="7924" max="8171" width="9.1640625" style="160"/>
    <col min="8172" max="8172" width="21.5" style="160" customWidth="1"/>
    <col min="8173" max="8173" width="16.5" style="160" customWidth="1"/>
    <col min="8174" max="8174" width="18" style="160" customWidth="1"/>
    <col min="8175" max="8175" width="23.6640625" style="160" customWidth="1"/>
    <col min="8176" max="8176" width="26" style="160" customWidth="1"/>
    <col min="8177" max="8177" width="21.5" style="160" customWidth="1"/>
    <col min="8178" max="8178" width="20.83203125" style="160" customWidth="1"/>
    <col min="8179" max="8179" width="0" style="160" hidden="1" customWidth="1"/>
    <col min="8180" max="8427" width="9.1640625" style="160"/>
    <col min="8428" max="8428" width="21.5" style="160" customWidth="1"/>
    <col min="8429" max="8429" width="16.5" style="160" customWidth="1"/>
    <col min="8430" max="8430" width="18" style="160" customWidth="1"/>
    <col min="8431" max="8431" width="23.6640625" style="160" customWidth="1"/>
    <col min="8432" max="8432" width="26" style="160" customWidth="1"/>
    <col min="8433" max="8433" width="21.5" style="160" customWidth="1"/>
    <col min="8434" max="8434" width="20.83203125" style="160" customWidth="1"/>
    <col min="8435" max="8435" width="0" style="160" hidden="1" customWidth="1"/>
    <col min="8436" max="8683" width="9.1640625" style="160"/>
    <col min="8684" max="8684" width="21.5" style="160" customWidth="1"/>
    <col min="8685" max="8685" width="16.5" style="160" customWidth="1"/>
    <col min="8686" max="8686" width="18" style="160" customWidth="1"/>
    <col min="8687" max="8687" width="23.6640625" style="160" customWidth="1"/>
    <col min="8688" max="8688" width="26" style="160" customWidth="1"/>
    <col min="8689" max="8689" width="21.5" style="160" customWidth="1"/>
    <col min="8690" max="8690" width="20.83203125" style="160" customWidth="1"/>
    <col min="8691" max="8691" width="0" style="160" hidden="1" customWidth="1"/>
    <col min="8692" max="8939" width="9.1640625" style="160"/>
    <col min="8940" max="8940" width="21.5" style="160" customWidth="1"/>
    <col min="8941" max="8941" width="16.5" style="160" customWidth="1"/>
    <col min="8942" max="8942" width="18" style="160" customWidth="1"/>
    <col min="8943" max="8943" width="23.6640625" style="160" customWidth="1"/>
    <col min="8944" max="8944" width="26" style="160" customWidth="1"/>
    <col min="8945" max="8945" width="21.5" style="160" customWidth="1"/>
    <col min="8946" max="8946" width="20.83203125" style="160" customWidth="1"/>
    <col min="8947" max="8947" width="0" style="160" hidden="1" customWidth="1"/>
    <col min="8948" max="9195" width="9.1640625" style="160"/>
    <col min="9196" max="9196" width="21.5" style="160" customWidth="1"/>
    <col min="9197" max="9197" width="16.5" style="160" customWidth="1"/>
    <col min="9198" max="9198" width="18" style="160" customWidth="1"/>
    <col min="9199" max="9199" width="23.6640625" style="160" customWidth="1"/>
    <col min="9200" max="9200" width="26" style="160" customWidth="1"/>
    <col min="9201" max="9201" width="21.5" style="160" customWidth="1"/>
    <col min="9202" max="9202" width="20.83203125" style="160" customWidth="1"/>
    <col min="9203" max="9203" width="0" style="160" hidden="1" customWidth="1"/>
    <col min="9204" max="9451" width="9.1640625" style="160"/>
    <col min="9452" max="9452" width="21.5" style="160" customWidth="1"/>
    <col min="9453" max="9453" width="16.5" style="160" customWidth="1"/>
    <col min="9454" max="9454" width="18" style="160" customWidth="1"/>
    <col min="9455" max="9455" width="23.6640625" style="160" customWidth="1"/>
    <col min="9456" max="9456" width="26" style="160" customWidth="1"/>
    <col min="9457" max="9457" width="21.5" style="160" customWidth="1"/>
    <col min="9458" max="9458" width="20.83203125" style="160" customWidth="1"/>
    <col min="9459" max="9459" width="0" style="160" hidden="1" customWidth="1"/>
    <col min="9460" max="9707" width="9.1640625" style="160"/>
    <col min="9708" max="9708" width="21.5" style="160" customWidth="1"/>
    <col min="9709" max="9709" width="16.5" style="160" customWidth="1"/>
    <col min="9710" max="9710" width="18" style="160" customWidth="1"/>
    <col min="9711" max="9711" width="23.6640625" style="160" customWidth="1"/>
    <col min="9712" max="9712" width="26" style="160" customWidth="1"/>
    <col min="9713" max="9713" width="21.5" style="160" customWidth="1"/>
    <col min="9714" max="9714" width="20.83203125" style="160" customWidth="1"/>
    <col min="9715" max="9715" width="0" style="160" hidden="1" customWidth="1"/>
    <col min="9716" max="9963" width="9.1640625" style="160"/>
    <col min="9964" max="9964" width="21.5" style="160" customWidth="1"/>
    <col min="9965" max="9965" width="16.5" style="160" customWidth="1"/>
    <col min="9966" max="9966" width="18" style="160" customWidth="1"/>
    <col min="9967" max="9967" width="23.6640625" style="160" customWidth="1"/>
    <col min="9968" max="9968" width="26" style="160" customWidth="1"/>
    <col min="9969" max="9969" width="21.5" style="160" customWidth="1"/>
    <col min="9970" max="9970" width="20.83203125" style="160" customWidth="1"/>
    <col min="9971" max="9971" width="0" style="160" hidden="1" customWidth="1"/>
    <col min="9972" max="10219" width="9.1640625" style="160"/>
    <col min="10220" max="10220" width="21.5" style="160" customWidth="1"/>
    <col min="10221" max="10221" width="16.5" style="160" customWidth="1"/>
    <col min="10222" max="10222" width="18" style="160" customWidth="1"/>
    <col min="10223" max="10223" width="23.6640625" style="160" customWidth="1"/>
    <col min="10224" max="10224" width="26" style="160" customWidth="1"/>
    <col min="10225" max="10225" width="21.5" style="160" customWidth="1"/>
    <col min="10226" max="10226" width="20.83203125" style="160" customWidth="1"/>
    <col min="10227" max="10227" width="0" style="160" hidden="1" customWidth="1"/>
    <col min="10228" max="10475" width="9.1640625" style="160"/>
    <col min="10476" max="10476" width="21.5" style="160" customWidth="1"/>
    <col min="10477" max="10477" width="16.5" style="160" customWidth="1"/>
    <col min="10478" max="10478" width="18" style="160" customWidth="1"/>
    <col min="10479" max="10479" width="23.6640625" style="160" customWidth="1"/>
    <col min="10480" max="10480" width="26" style="160" customWidth="1"/>
    <col min="10481" max="10481" width="21.5" style="160" customWidth="1"/>
    <col min="10482" max="10482" width="20.83203125" style="160" customWidth="1"/>
    <col min="10483" max="10483" width="0" style="160" hidden="1" customWidth="1"/>
    <col min="10484" max="10731" width="9.1640625" style="160"/>
    <col min="10732" max="10732" width="21.5" style="160" customWidth="1"/>
    <col min="10733" max="10733" width="16.5" style="160" customWidth="1"/>
    <col min="10734" max="10734" width="18" style="160" customWidth="1"/>
    <col min="10735" max="10735" width="23.6640625" style="160" customWidth="1"/>
    <col min="10736" max="10736" width="26" style="160" customWidth="1"/>
    <col min="10737" max="10737" width="21.5" style="160" customWidth="1"/>
    <col min="10738" max="10738" width="20.83203125" style="160" customWidth="1"/>
    <col min="10739" max="10739" width="0" style="160" hidden="1" customWidth="1"/>
    <col min="10740" max="10987" width="9.1640625" style="160"/>
    <col min="10988" max="10988" width="21.5" style="160" customWidth="1"/>
    <col min="10989" max="10989" width="16.5" style="160" customWidth="1"/>
    <col min="10990" max="10990" width="18" style="160" customWidth="1"/>
    <col min="10991" max="10991" width="23.6640625" style="160" customWidth="1"/>
    <col min="10992" max="10992" width="26" style="160" customWidth="1"/>
    <col min="10993" max="10993" width="21.5" style="160" customWidth="1"/>
    <col min="10994" max="10994" width="20.83203125" style="160" customWidth="1"/>
    <col min="10995" max="10995" width="0" style="160" hidden="1" customWidth="1"/>
    <col min="10996" max="11243" width="9.1640625" style="160"/>
    <col min="11244" max="11244" width="21.5" style="160" customWidth="1"/>
    <col min="11245" max="11245" width="16.5" style="160" customWidth="1"/>
    <col min="11246" max="11246" width="18" style="160" customWidth="1"/>
    <col min="11247" max="11247" width="23.6640625" style="160" customWidth="1"/>
    <col min="11248" max="11248" width="26" style="160" customWidth="1"/>
    <col min="11249" max="11249" width="21.5" style="160" customWidth="1"/>
    <col min="11250" max="11250" width="20.83203125" style="160" customWidth="1"/>
    <col min="11251" max="11251" width="0" style="160" hidden="1" customWidth="1"/>
    <col min="11252" max="11499" width="9.1640625" style="160"/>
    <col min="11500" max="11500" width="21.5" style="160" customWidth="1"/>
    <col min="11501" max="11501" width="16.5" style="160" customWidth="1"/>
    <col min="11502" max="11502" width="18" style="160" customWidth="1"/>
    <col min="11503" max="11503" width="23.6640625" style="160" customWidth="1"/>
    <col min="11504" max="11504" width="26" style="160" customWidth="1"/>
    <col min="11505" max="11505" width="21.5" style="160" customWidth="1"/>
    <col min="11506" max="11506" width="20.83203125" style="160" customWidth="1"/>
    <col min="11507" max="11507" width="0" style="160" hidden="1" customWidth="1"/>
    <col min="11508" max="11755" width="9.1640625" style="160"/>
    <col min="11756" max="11756" width="21.5" style="160" customWidth="1"/>
    <col min="11757" max="11757" width="16.5" style="160" customWidth="1"/>
    <col min="11758" max="11758" width="18" style="160" customWidth="1"/>
    <col min="11759" max="11759" width="23.6640625" style="160" customWidth="1"/>
    <col min="11760" max="11760" width="26" style="160" customWidth="1"/>
    <col min="11761" max="11761" width="21.5" style="160" customWidth="1"/>
    <col min="11762" max="11762" width="20.83203125" style="160" customWidth="1"/>
    <col min="11763" max="11763" width="0" style="160" hidden="1" customWidth="1"/>
    <col min="11764" max="12011" width="9.1640625" style="160"/>
    <col min="12012" max="12012" width="21.5" style="160" customWidth="1"/>
    <col min="12013" max="12013" width="16.5" style="160" customWidth="1"/>
    <col min="12014" max="12014" width="18" style="160" customWidth="1"/>
    <col min="12015" max="12015" width="23.6640625" style="160" customWidth="1"/>
    <col min="12016" max="12016" width="26" style="160" customWidth="1"/>
    <col min="12017" max="12017" width="21.5" style="160" customWidth="1"/>
    <col min="12018" max="12018" width="20.83203125" style="160" customWidth="1"/>
    <col min="12019" max="12019" width="0" style="160" hidden="1" customWidth="1"/>
    <col min="12020" max="12267" width="9.1640625" style="160"/>
    <col min="12268" max="12268" width="21.5" style="160" customWidth="1"/>
    <col min="12269" max="12269" width="16.5" style="160" customWidth="1"/>
    <col min="12270" max="12270" width="18" style="160" customWidth="1"/>
    <col min="12271" max="12271" width="23.6640625" style="160" customWidth="1"/>
    <col min="12272" max="12272" width="26" style="160" customWidth="1"/>
    <col min="12273" max="12273" width="21.5" style="160" customWidth="1"/>
    <col min="12274" max="12274" width="20.83203125" style="160" customWidth="1"/>
    <col min="12275" max="12275" width="0" style="160" hidden="1" customWidth="1"/>
    <col min="12276" max="12523" width="9.1640625" style="160"/>
    <col min="12524" max="12524" width="21.5" style="160" customWidth="1"/>
    <col min="12525" max="12525" width="16.5" style="160" customWidth="1"/>
    <col min="12526" max="12526" width="18" style="160" customWidth="1"/>
    <col min="12527" max="12527" width="23.6640625" style="160" customWidth="1"/>
    <col min="12528" max="12528" width="26" style="160" customWidth="1"/>
    <col min="12529" max="12529" width="21.5" style="160" customWidth="1"/>
    <col min="12530" max="12530" width="20.83203125" style="160" customWidth="1"/>
    <col min="12531" max="12531" width="0" style="160" hidden="1" customWidth="1"/>
    <col min="12532" max="12779" width="9.1640625" style="160"/>
    <col min="12780" max="12780" width="21.5" style="160" customWidth="1"/>
    <col min="12781" max="12781" width="16.5" style="160" customWidth="1"/>
    <col min="12782" max="12782" width="18" style="160" customWidth="1"/>
    <col min="12783" max="12783" width="23.6640625" style="160" customWidth="1"/>
    <col min="12784" max="12784" width="26" style="160" customWidth="1"/>
    <col min="12785" max="12785" width="21.5" style="160" customWidth="1"/>
    <col min="12786" max="12786" width="20.83203125" style="160" customWidth="1"/>
    <col min="12787" max="12787" width="0" style="160" hidden="1" customWidth="1"/>
    <col min="12788" max="13035" width="9.1640625" style="160"/>
    <col min="13036" max="13036" width="21.5" style="160" customWidth="1"/>
    <col min="13037" max="13037" width="16.5" style="160" customWidth="1"/>
    <col min="13038" max="13038" width="18" style="160" customWidth="1"/>
    <col min="13039" max="13039" width="23.6640625" style="160" customWidth="1"/>
    <col min="13040" max="13040" width="26" style="160" customWidth="1"/>
    <col min="13041" max="13041" width="21.5" style="160" customWidth="1"/>
    <col min="13042" max="13042" width="20.83203125" style="160" customWidth="1"/>
    <col min="13043" max="13043" width="0" style="160" hidden="1" customWidth="1"/>
    <col min="13044" max="13291" width="9.1640625" style="160"/>
    <col min="13292" max="13292" width="21.5" style="160" customWidth="1"/>
    <col min="13293" max="13293" width="16.5" style="160" customWidth="1"/>
    <col min="13294" max="13294" width="18" style="160" customWidth="1"/>
    <col min="13295" max="13295" width="23.6640625" style="160" customWidth="1"/>
    <col min="13296" max="13296" width="26" style="160" customWidth="1"/>
    <col min="13297" max="13297" width="21.5" style="160" customWidth="1"/>
    <col min="13298" max="13298" width="20.83203125" style="160" customWidth="1"/>
    <col min="13299" max="13299" width="0" style="160" hidden="1" customWidth="1"/>
    <col min="13300" max="13547" width="9.1640625" style="160"/>
    <col min="13548" max="13548" width="21.5" style="160" customWidth="1"/>
    <col min="13549" max="13549" width="16.5" style="160" customWidth="1"/>
    <col min="13550" max="13550" width="18" style="160" customWidth="1"/>
    <col min="13551" max="13551" width="23.6640625" style="160" customWidth="1"/>
    <col min="13552" max="13552" width="26" style="160" customWidth="1"/>
    <col min="13553" max="13553" width="21.5" style="160" customWidth="1"/>
    <col min="13554" max="13554" width="20.83203125" style="160" customWidth="1"/>
    <col min="13555" max="13555" width="0" style="160" hidden="1" customWidth="1"/>
    <col min="13556" max="13803" width="9.1640625" style="160"/>
    <col min="13804" max="13804" width="21.5" style="160" customWidth="1"/>
    <col min="13805" max="13805" width="16.5" style="160" customWidth="1"/>
    <col min="13806" max="13806" width="18" style="160" customWidth="1"/>
    <col min="13807" max="13807" width="23.6640625" style="160" customWidth="1"/>
    <col min="13808" max="13808" width="26" style="160" customWidth="1"/>
    <col min="13809" max="13809" width="21.5" style="160" customWidth="1"/>
    <col min="13810" max="13810" width="20.83203125" style="160" customWidth="1"/>
    <col min="13811" max="13811" width="0" style="160" hidden="1" customWidth="1"/>
    <col min="13812" max="14059" width="9.1640625" style="160"/>
    <col min="14060" max="14060" width="21.5" style="160" customWidth="1"/>
    <col min="14061" max="14061" width="16.5" style="160" customWidth="1"/>
    <col min="14062" max="14062" width="18" style="160" customWidth="1"/>
    <col min="14063" max="14063" width="23.6640625" style="160" customWidth="1"/>
    <col min="14064" max="14064" width="26" style="160" customWidth="1"/>
    <col min="14065" max="14065" width="21.5" style="160" customWidth="1"/>
    <col min="14066" max="14066" width="20.83203125" style="160" customWidth="1"/>
    <col min="14067" max="14067" width="0" style="160" hidden="1" customWidth="1"/>
    <col min="14068" max="14315" width="9.1640625" style="160"/>
    <col min="14316" max="14316" width="21.5" style="160" customWidth="1"/>
    <col min="14317" max="14317" width="16.5" style="160" customWidth="1"/>
    <col min="14318" max="14318" width="18" style="160" customWidth="1"/>
    <col min="14319" max="14319" width="23.6640625" style="160" customWidth="1"/>
    <col min="14320" max="14320" width="26" style="160" customWidth="1"/>
    <col min="14321" max="14321" width="21.5" style="160" customWidth="1"/>
    <col min="14322" max="14322" width="20.83203125" style="160" customWidth="1"/>
    <col min="14323" max="14323" width="0" style="160" hidden="1" customWidth="1"/>
    <col min="14324" max="14571" width="9.1640625" style="160"/>
    <col min="14572" max="14572" width="21.5" style="160" customWidth="1"/>
    <col min="14573" max="14573" width="16.5" style="160" customWidth="1"/>
    <col min="14574" max="14574" width="18" style="160" customWidth="1"/>
    <col min="14575" max="14575" width="23.6640625" style="160" customWidth="1"/>
    <col min="14576" max="14576" width="26" style="160" customWidth="1"/>
    <col min="14577" max="14577" width="21.5" style="160" customWidth="1"/>
    <col min="14578" max="14578" width="20.83203125" style="160" customWidth="1"/>
    <col min="14579" max="14579" width="0" style="160" hidden="1" customWidth="1"/>
    <col min="14580" max="14827" width="9.1640625" style="160"/>
    <col min="14828" max="14828" width="21.5" style="160" customWidth="1"/>
    <col min="14829" max="14829" width="16.5" style="160" customWidth="1"/>
    <col min="14830" max="14830" width="18" style="160" customWidth="1"/>
    <col min="14831" max="14831" width="23.6640625" style="160" customWidth="1"/>
    <col min="14832" max="14832" width="26" style="160" customWidth="1"/>
    <col min="14833" max="14833" width="21.5" style="160" customWidth="1"/>
    <col min="14834" max="14834" width="20.83203125" style="160" customWidth="1"/>
    <col min="14835" max="14835" width="0" style="160" hidden="1" customWidth="1"/>
    <col min="14836" max="15083" width="9.1640625" style="160"/>
    <col min="15084" max="15084" width="21.5" style="160" customWidth="1"/>
    <col min="15085" max="15085" width="16.5" style="160" customWidth="1"/>
    <col min="15086" max="15086" width="18" style="160" customWidth="1"/>
    <col min="15087" max="15087" width="23.6640625" style="160" customWidth="1"/>
    <col min="15088" max="15088" width="26" style="160" customWidth="1"/>
    <col min="15089" max="15089" width="21.5" style="160" customWidth="1"/>
    <col min="15090" max="15090" width="20.83203125" style="160" customWidth="1"/>
    <col min="15091" max="15091" width="0" style="160" hidden="1" customWidth="1"/>
    <col min="15092" max="15339" width="9.1640625" style="160"/>
    <col min="15340" max="15340" width="21.5" style="160" customWidth="1"/>
    <col min="15341" max="15341" width="16.5" style="160" customWidth="1"/>
    <col min="15342" max="15342" width="18" style="160" customWidth="1"/>
    <col min="15343" max="15343" width="23.6640625" style="160" customWidth="1"/>
    <col min="15344" max="15344" width="26" style="160" customWidth="1"/>
    <col min="15345" max="15345" width="21.5" style="160" customWidth="1"/>
    <col min="15346" max="15346" width="20.83203125" style="160" customWidth="1"/>
    <col min="15347" max="15347" width="0" style="160" hidden="1" customWidth="1"/>
    <col min="15348" max="15595" width="9.1640625" style="160"/>
    <col min="15596" max="15596" width="21.5" style="160" customWidth="1"/>
    <col min="15597" max="15597" width="16.5" style="160" customWidth="1"/>
    <col min="15598" max="15598" width="18" style="160" customWidth="1"/>
    <col min="15599" max="15599" width="23.6640625" style="160" customWidth="1"/>
    <col min="15600" max="15600" width="26" style="160" customWidth="1"/>
    <col min="15601" max="15601" width="21.5" style="160" customWidth="1"/>
    <col min="15602" max="15602" width="20.83203125" style="160" customWidth="1"/>
    <col min="15603" max="15603" width="0" style="160" hidden="1" customWidth="1"/>
    <col min="15604" max="15851" width="9.1640625" style="160"/>
    <col min="15852" max="15852" width="21.5" style="160" customWidth="1"/>
    <col min="15853" max="15853" width="16.5" style="160" customWidth="1"/>
    <col min="15854" max="15854" width="18" style="160" customWidth="1"/>
    <col min="15855" max="15855" width="23.6640625" style="160" customWidth="1"/>
    <col min="15856" max="15856" width="26" style="160" customWidth="1"/>
    <col min="15857" max="15857" width="21.5" style="160" customWidth="1"/>
    <col min="15858" max="15858" width="20.83203125" style="160" customWidth="1"/>
    <col min="15859" max="15859" width="0" style="160" hidden="1" customWidth="1"/>
    <col min="15860" max="16107" width="9.1640625" style="160"/>
    <col min="16108" max="16108" width="21.5" style="160" customWidth="1"/>
    <col min="16109" max="16109" width="16.5" style="160" customWidth="1"/>
    <col min="16110" max="16110" width="18" style="160" customWidth="1"/>
    <col min="16111" max="16111" width="23.6640625" style="160" customWidth="1"/>
    <col min="16112" max="16112" width="26" style="160" customWidth="1"/>
    <col min="16113" max="16113" width="21.5" style="160" customWidth="1"/>
    <col min="16114" max="16114" width="20.83203125" style="160" customWidth="1"/>
    <col min="16115" max="16115" width="0" style="160" hidden="1" customWidth="1"/>
    <col min="16116" max="16384" width="9.1640625" style="160"/>
  </cols>
  <sheetData>
    <row r="1" spans="2:19" ht="9" customHeight="1" thickBot="1"/>
    <row r="2" spans="2:19" s="162" customFormat="1" ht="30" customHeight="1" thickBot="1">
      <c r="B2" s="184" t="s">
        <v>53</v>
      </c>
      <c r="C2" s="185"/>
      <c r="D2" s="185"/>
      <c r="E2" s="185"/>
      <c r="F2" s="185"/>
      <c r="G2" s="186"/>
      <c r="H2" s="185"/>
      <c r="I2" s="185"/>
      <c r="J2" s="185"/>
      <c r="K2" s="185"/>
      <c r="L2" s="185"/>
      <c r="M2" s="187"/>
      <c r="N2" s="186"/>
      <c r="O2" s="186"/>
      <c r="P2" s="188"/>
    </row>
    <row r="3" spans="2:19">
      <c r="G3" s="189"/>
      <c r="M3" s="190"/>
      <c r="N3" s="191"/>
      <c r="O3" s="191"/>
      <c r="P3" s="191"/>
      <c r="R3" s="813" t="s">
        <v>259</v>
      </c>
      <c r="S3" s="814"/>
    </row>
    <row r="4" spans="2:19" ht="45" customHeight="1">
      <c r="B4" s="163" t="s">
        <v>220</v>
      </c>
      <c r="C4" s="164" t="s">
        <v>219</v>
      </c>
      <c r="D4" s="164" t="s">
        <v>54</v>
      </c>
      <c r="E4" s="164" t="s">
        <v>11</v>
      </c>
      <c r="F4" s="164" t="s">
        <v>58</v>
      </c>
      <c r="G4" s="164" t="s">
        <v>156</v>
      </c>
      <c r="H4" s="164" t="s">
        <v>257</v>
      </c>
      <c r="I4" s="164" t="s">
        <v>345</v>
      </c>
      <c r="J4" s="164" t="s">
        <v>346</v>
      </c>
      <c r="K4" s="164" t="s">
        <v>347</v>
      </c>
      <c r="L4" s="164" t="s">
        <v>348</v>
      </c>
      <c r="M4" s="164" t="s">
        <v>155</v>
      </c>
      <c r="N4" s="164" t="s">
        <v>56</v>
      </c>
      <c r="O4" s="164" t="s">
        <v>57</v>
      </c>
      <c r="P4" s="165" t="s">
        <v>58</v>
      </c>
      <c r="R4" s="809" t="s">
        <v>349</v>
      </c>
      <c r="S4" s="811" t="s">
        <v>258</v>
      </c>
    </row>
    <row r="5" spans="2:19" ht="15.75" customHeight="1">
      <c r="B5" s="166" t="s">
        <v>55</v>
      </c>
      <c r="C5" s="167" t="s">
        <v>52</v>
      </c>
      <c r="D5" s="167" t="s">
        <v>0</v>
      </c>
      <c r="E5" s="167" t="s">
        <v>0</v>
      </c>
      <c r="F5" s="167" t="s">
        <v>0</v>
      </c>
      <c r="G5" s="168" t="s">
        <v>0</v>
      </c>
      <c r="H5" s="168" t="s">
        <v>0</v>
      </c>
      <c r="I5" s="168" t="s">
        <v>0</v>
      </c>
      <c r="J5" s="168" t="s">
        <v>0</v>
      </c>
      <c r="K5" s="167" t="s">
        <v>0</v>
      </c>
      <c r="L5" s="167" t="s">
        <v>0</v>
      </c>
      <c r="M5" s="168" t="s">
        <v>0</v>
      </c>
      <c r="N5" s="168" t="s">
        <v>0</v>
      </c>
      <c r="O5" s="167" t="s">
        <v>1</v>
      </c>
      <c r="P5" s="169" t="s">
        <v>59</v>
      </c>
      <c r="R5" s="810"/>
      <c r="S5" s="812"/>
    </row>
    <row r="6" spans="2:19" ht="15.75" customHeight="1">
      <c r="B6" s="170">
        <v>0</v>
      </c>
      <c r="C6" s="171"/>
      <c r="D6" s="172"/>
      <c r="E6" s="172"/>
      <c r="F6" s="172"/>
      <c r="G6" s="173"/>
      <c r="H6" s="172"/>
      <c r="I6" s="172"/>
      <c r="J6" s="172"/>
      <c r="K6" s="172"/>
      <c r="L6" s="223"/>
      <c r="M6" s="173">
        <f>'Cash Flow'!F77</f>
        <v>-10402500</v>
      </c>
      <c r="N6" s="173">
        <f>M6</f>
        <v>-10402500</v>
      </c>
      <c r="O6" s="192"/>
      <c r="P6" s="193"/>
      <c r="R6" s="390"/>
      <c r="S6" s="391"/>
    </row>
    <row r="7" spans="2:19" s="180" customFormat="1">
      <c r="B7" s="175">
        <v>1</v>
      </c>
      <c r="C7" s="176">
        <f>IF($B7&gt;Inputs!$G$19,"",IF($B7&lt;=Inputs!$Q$13,LOOKUP($B7,'Cash Flow'!$F$2:$AJ$2,'Cash Flow'!$F$21:$AJ$21),LOOKUP($B7,'Cash Flow'!$F$2:$AJ$2,'Cash Flow'!$F$23:$AJ$23)))</f>
        <v>12.849999999999998</v>
      </c>
      <c r="D7" s="173">
        <f>IF($B7&gt;Inputs!$G$19,"",LOOKUP($B7,'Cash Flow'!$F$2:$AJ$2,'Cash Flow'!$F$31:$AJ$31))</f>
        <v>3350198.1142244111</v>
      </c>
      <c r="E7" s="173">
        <f>IF($B7&gt;Inputs!$G$19,"",LOOKUP($B7,'Cash Flow'!$F$2:$AJ$2,'Cash Flow'!$F$45:$AJ$45))</f>
        <v>-1755905.6940000001</v>
      </c>
      <c r="F7" s="173">
        <f>IF($B7&gt;Inputs!$G$19,"",LOOKUP($B7,'Cash Flow'!$F$2:$AJ$2,'Cash Flow'!$F$95:$AJ$95))</f>
        <v>-829778.63182494417</v>
      </c>
      <c r="G7" s="173">
        <f>IF($B7&gt;Inputs!$G$19,"",LOOKUP($B7,'Cash Flow'!$F$2:$AJ$2,'Cash Flow'!$F$57:$AJ$57)+LOOKUP($B7,'Cash Flow'!$F$2:$AJ$2,'Cash Flow'!$F$58:$AJ$58))</f>
        <v>0</v>
      </c>
      <c r="H7" s="173">
        <f>IF($B7&gt;Inputs!$G$19,"",SUM(D7:G7))</f>
        <v>764513.78839946678</v>
      </c>
      <c r="I7" s="173">
        <f>IF($B7&gt;Inputs!$G$19,"",LOOKUP($B7,'Cash Flow'!$F$2:$AJ$2,'Cash Flow'!$F$70:$AJ$70))</f>
        <v>-1711502.8844630895</v>
      </c>
      <c r="J7" s="173">
        <f>IF($B7&gt;Inputs!$G$19,"",LOOKUP($B7,'Cash Flow'!$F$2:$AJ$2,'Cash Flow'!$F$71:$AJ$71))</f>
        <v>-1711502.8844630895</v>
      </c>
      <c r="K7" s="173">
        <f>IF($B7&gt;Inputs!$G$19,"",LOOKUP($B7,'Cash Flow'!$F$2:$AJ$2,'Cash Flow'!$F$73:$AJ$73)+LOOKUP($B7,'Cash Flow'!$F$2:$AJ$2,'Cash Flow'!$F$75:$AJ$75))</f>
        <v>5437283.7987493044</v>
      </c>
      <c r="L7" s="173">
        <f>IF($B7&gt;Inputs!$G$19,"",LOOKUP($B7,'Cash Flow'!$F$2:$AJ$2,'Cash Flow'!$F$74:$AJ$74)+LOOKUP($B7,'Cash Flow'!$F$2:$AJ$2,'Cash Flow'!$F$76:$AJ$76))</f>
        <v>145477.74517936262</v>
      </c>
      <c r="M7" s="173">
        <f>IF($B7&gt;Inputs!$G$19,"",H7+K7+L7)</f>
        <v>6347275.3323281333</v>
      </c>
      <c r="N7" s="173">
        <f>IF($B7&gt;Inputs!$G$19,N6,N6+M7)</f>
        <v>-4055224.6676718667</v>
      </c>
      <c r="O7" s="177">
        <f>IF($B7&gt;Inputs!$G$19,"",LOOKUP($B7,'Cash Flow'!$F$2:$AJ$2,'Cash Flow'!$F$78:$AJ$78))</f>
        <v>-0.3898317392618954</v>
      </c>
      <c r="P7" s="178">
        <f>IF($B7&gt;Inputs!$G$19,"",LOOKUP($B7,'Cash Flow'!$F$2:$AJ$2,'Cash Flow'!$F$51:$AJ$51))</f>
        <v>1.9213466810034148</v>
      </c>
      <c r="R7" s="392">
        <f>IF($B7&gt;Inputs!$G$19,"",D7+K7+L7)</f>
        <v>8932959.6581530776</v>
      </c>
      <c r="S7" s="393">
        <f>IF($B7&gt;Inputs!$G$19,"",-(E7+F7+G7))</f>
        <v>2585684.3258249443</v>
      </c>
    </row>
    <row r="8" spans="2:19" s="180" customFormat="1" ht="15.75" customHeight="1">
      <c r="B8" s="181">
        <v>2</v>
      </c>
      <c r="C8" s="176">
        <f>IF($B8&gt;Inputs!$G$19,"",IF($B8&lt;=Inputs!$Q$13,LOOKUP($B8,'Cash Flow'!$F$2:$AJ$2,'Cash Flow'!$F$21:$AJ$21),LOOKUP($B8,'Cash Flow'!$F$2:$AJ$2,'Cash Flow'!$F$23:$AJ$23)))</f>
        <v>12.849999999999998</v>
      </c>
      <c r="D8" s="173">
        <f>IF($B8&gt;Inputs!$G$19,"",LOOKUP($B8,'Cash Flow'!$F$2:$AJ$2,'Cash Flow'!$F$31:$AJ$31))</f>
        <v>3350198.1142244111</v>
      </c>
      <c r="E8" s="173">
        <f>IF($B8&gt;Inputs!$G$19,"",LOOKUP($B8,'Cash Flow'!$F$2:$AJ$2,'Cash Flow'!$F$45:$AJ$45))</f>
        <v>-1806352.8090612246</v>
      </c>
      <c r="F8" s="173">
        <f>IF($B8&gt;Inputs!$G$19,"",LOOKUP($B8,'Cash Flow'!$F$2:$AJ$2,'Cash Flow'!$F$95:$AJ$95))</f>
        <v>-829778.63182494428</v>
      </c>
      <c r="G8" s="173">
        <f>IF($B8&gt;Inputs!$G$19,"",LOOKUP($B8,'Cash Flow'!$F$2:$AJ$2,'Cash Flow'!$F$57:$AJ$57)+LOOKUP($B8,'Cash Flow'!$F$2:$AJ$2,'Cash Flow'!$F$58:$AJ$58))</f>
        <v>0</v>
      </c>
      <c r="H8" s="173">
        <f>IF($B8&gt;Inputs!$G$19,"",SUM(D8:G8))</f>
        <v>714066.67333824222</v>
      </c>
      <c r="I8" s="173">
        <f>IF($B8&gt;Inputs!$G$19,"",LOOKUP($B8,'Cash Flow'!$F$2:$AJ$2,'Cash Flow'!$F$70:$AJ$70))</f>
        <v>-3436709.8207053179</v>
      </c>
      <c r="J8" s="173">
        <f>IF($B8&gt;Inputs!$G$19,"",LOOKUP($B8,'Cash Flow'!$F$2:$AJ$2,'Cash Flow'!$F$71:$AJ$71))</f>
        <v>-3436709.8207053179</v>
      </c>
      <c r="K8" s="173">
        <f>IF($B8&gt;Inputs!$G$19,"",LOOKUP($B8,'Cash Flow'!$F$2:$AJ$2,'Cash Flow'!$F$73:$AJ$73)+LOOKUP($B8,'Cash Flow'!$F$2:$AJ$2,'Cash Flow'!$F$75:$AJ$75))</f>
        <v>1100606.320080878</v>
      </c>
      <c r="L8" s="173">
        <f>IF($B8&gt;Inputs!$G$19,"",LOOKUP($B8,'Cash Flow'!$F$2:$AJ$2,'Cash Flow'!$F$74:$AJ$74)+LOOKUP($B8,'Cash Flow'!$F$2:$AJ$2,'Cash Flow'!$F$76:$AJ$76))</f>
        <v>292120.33475995203</v>
      </c>
      <c r="M8" s="173">
        <f>IF($B8&gt;Inputs!$G$19,"",H8+K8+L8)</f>
        <v>2106793.3281790721</v>
      </c>
      <c r="N8" s="173">
        <f>IF($B8&gt;Inputs!$G$19,N7,N7+M8)</f>
        <v>-1948431.3394927946</v>
      </c>
      <c r="O8" s="177">
        <f>IF($B8&gt;Inputs!$G$19,"",LOOKUP($B8,'Cash Flow'!$F$2:$AJ$2,'Cash Flow'!$F$78:$AJ$78))</f>
        <v>-0.15122117254424394</v>
      </c>
      <c r="P8" s="178">
        <f>IF($B8&gt;Inputs!$G$19,"",LOOKUP($B8,'Cash Flow'!$F$2:$AJ$2,'Cash Flow'!$F$51:$AJ$51))</f>
        <v>1.8605508095186603</v>
      </c>
      <c r="R8" s="392">
        <f>IF($B8&gt;Inputs!$G$19,"",D8+K8+L8)</f>
        <v>4742924.7690652404</v>
      </c>
      <c r="S8" s="393">
        <f>IF($B8&gt;Inputs!$G$19,"",-(E8+F8+G8))</f>
        <v>2636131.4408861687</v>
      </c>
    </row>
    <row r="9" spans="2:19">
      <c r="B9" s="175">
        <v>3</v>
      </c>
      <c r="C9" s="176">
        <f>IF($B9&gt;Inputs!$G$19,"",IF($B9&lt;=Inputs!$Q$13,LOOKUP($B9,'Cash Flow'!$F$2:$AJ$2,'Cash Flow'!$F$21:$AJ$21),LOOKUP($B9,'Cash Flow'!$F$2:$AJ$2,'Cash Flow'!$F$23:$AJ$23)))</f>
        <v>12.849999999999998</v>
      </c>
      <c r="D9" s="173">
        <f>IF($B9&gt;Inputs!$G$19,"",LOOKUP($B9,'Cash Flow'!$F$2:$AJ$2,'Cash Flow'!$F$31:$AJ$31))</f>
        <v>3350198.1142244115</v>
      </c>
      <c r="E9" s="173">
        <f>IF($B9&gt;Inputs!$G$19,"",LOOKUP($B9,'Cash Flow'!$F$2:$AJ$2,'Cash Flow'!$F$45:$AJ$45))</f>
        <v>-1858434.5399412746</v>
      </c>
      <c r="F9" s="173">
        <f>IF($B9&gt;Inputs!$G$19,"",LOOKUP($B9,'Cash Flow'!$F$2:$AJ$2,'Cash Flow'!$F$95:$AJ$95))</f>
        <v>-829778.63182494417</v>
      </c>
      <c r="G9" s="173">
        <f>IF($B9&gt;Inputs!$G$19,"",LOOKUP($B9,'Cash Flow'!$F$2:$AJ$2,'Cash Flow'!$F$57:$AJ$57)+LOOKUP($B9,'Cash Flow'!$F$2:$AJ$2,'Cash Flow'!$F$58:$AJ$58))</f>
        <v>0</v>
      </c>
      <c r="H9" s="173">
        <f>IF($B9&gt;Inputs!$G$19,"",SUM(D9:G9))</f>
        <v>661984.94245819282</v>
      </c>
      <c r="I9" s="173">
        <f>IF($B9&gt;Inputs!$G$19,"",LOOKUP($B9,'Cash Flow'!$F$2:$AJ$2,'Cash Flow'!$F$70:$AJ$70))</f>
        <v>-1668156.6691729287</v>
      </c>
      <c r="J9" s="173">
        <f>IF($B9&gt;Inputs!$G$19,"",LOOKUP($B9,'Cash Flow'!$F$2:$AJ$2,'Cash Flow'!$F$71:$AJ$71))</f>
        <v>-1668156.6691729287</v>
      </c>
      <c r="K9" s="173">
        <f>IF($B9&gt;Inputs!$G$19,"",LOOKUP($B9,'Cash Flow'!$F$2:$AJ$2,'Cash Flow'!$F$73:$AJ$73)+LOOKUP($B9,'Cash Flow'!$F$2:$AJ$2,'Cash Flow'!$F$75:$AJ$75))</f>
        <v>534227.17330263031</v>
      </c>
      <c r="L9" s="173">
        <f>IF($B9&gt;Inputs!$G$19,"",LOOKUP($B9,'Cash Flow'!$F$2:$AJ$2,'Cash Flow'!$F$74:$AJ$74)+LOOKUP($B9,'Cash Flow'!$F$2:$AJ$2,'Cash Flow'!$F$76:$AJ$76))</f>
        <v>141793.31687969895</v>
      </c>
      <c r="M9" s="173">
        <f>IF($B9&gt;Inputs!$G$19,"",H9+K9+L9)</f>
        <v>1338005.4326405223</v>
      </c>
      <c r="N9" s="173">
        <f>IF($B9&gt;Inputs!$G$19,N8,N8+M9)</f>
        <v>-610425.90685227234</v>
      </c>
      <c r="O9" s="177">
        <f>IF($B9&gt;Inputs!$G$19,"",LOOKUP($B9,'Cash Flow'!$F$2:$AJ$2,'Cash Flow'!$F$78:$AJ$78))</f>
        <v>-3.9536563449717677E-2</v>
      </c>
      <c r="P9" s="178">
        <f>IF($B9&gt;Inputs!$G$19,"",LOOKUP($B9,'Cash Flow'!$F$2:$AJ$2,'Cash Flow'!$F$51:$AJ$51))</f>
        <v>1.7977849959841454</v>
      </c>
      <c r="R9" s="392">
        <f>IF($B9&gt;Inputs!$G$19,"",D9+K9+L9)</f>
        <v>4026218.604406741</v>
      </c>
      <c r="S9" s="393">
        <f>IF($B9&gt;Inputs!$G$19,"",-(E9+F9+G9))</f>
        <v>2688213.1717662187</v>
      </c>
    </row>
    <row r="10" spans="2:19">
      <c r="B10" s="175">
        <v>4</v>
      </c>
      <c r="C10" s="176">
        <f>IF($B10&gt;Inputs!$G$19,"",IF($B10&lt;=Inputs!$Q$13,LOOKUP($B10,'Cash Flow'!$F$2:$AJ$2,'Cash Flow'!$F$21:$AJ$21),LOOKUP($B10,'Cash Flow'!$F$2:$AJ$2,'Cash Flow'!$F$23:$AJ$23)))</f>
        <v>12.849999999999998</v>
      </c>
      <c r="D10" s="173">
        <f>IF($B10&gt;Inputs!$G$19,"",LOOKUP($B10,'Cash Flow'!$F$2:$AJ$2,'Cash Flow'!$F$31:$AJ$31))</f>
        <v>3350198.1142244102</v>
      </c>
      <c r="E10" s="173">
        <f>IF($B10&gt;Inputs!$G$19,"",LOOKUP($B10,'Cash Flow'!$F$2:$AJ$2,'Cash Flow'!$F$45:$AJ$45))</f>
        <v>-1912209.1166511222</v>
      </c>
      <c r="F10" s="173">
        <f>IF($B10&gt;Inputs!$G$19,"",LOOKUP($B10,'Cash Flow'!$F$2:$AJ$2,'Cash Flow'!$F$95:$AJ$95))</f>
        <v>-829778.63182494417</v>
      </c>
      <c r="G10" s="173">
        <f>IF($B10&gt;Inputs!$G$19,"",LOOKUP($B10,'Cash Flow'!$F$2:$AJ$2,'Cash Flow'!$F$57:$AJ$57)+LOOKUP($B10,'Cash Flow'!$F$2:$AJ$2,'Cash Flow'!$F$58:$AJ$58))</f>
        <v>0</v>
      </c>
      <c r="H10" s="173">
        <f>IF($B10&gt;Inputs!$G$19,"",SUM(D10:G10))</f>
        <v>608210.36574834376</v>
      </c>
      <c r="I10" s="173">
        <f>IF($B10&gt;Inputs!$G$19,"",LOOKUP($B10,'Cash Flow'!$F$2:$AJ$2,'Cash Flow'!$F$70:$AJ$70))</f>
        <v>-616543.08517368103</v>
      </c>
      <c r="J10" s="173">
        <f>IF($B10&gt;Inputs!$G$19,"",LOOKUP($B10,'Cash Flow'!$F$2:$AJ$2,'Cash Flow'!$F$71:$AJ$71))</f>
        <v>-616543.08517368103</v>
      </c>
      <c r="K10" s="173">
        <f>IF($B10&gt;Inputs!$G$19,"",LOOKUP($B10,'Cash Flow'!$F$2:$AJ$2,'Cash Flow'!$F$73:$AJ$73)+LOOKUP($B10,'Cash Flow'!$F$2:$AJ$2,'Cash Flow'!$F$75:$AJ$75))</f>
        <v>197447.92302687134</v>
      </c>
      <c r="L10" s="173">
        <f>IF($B10&gt;Inputs!$G$19,"",LOOKUP($B10,'Cash Flow'!$F$2:$AJ$2,'Cash Flow'!$F$74:$AJ$74)+LOOKUP($B10,'Cash Flow'!$F$2:$AJ$2,'Cash Flow'!$F$76:$AJ$76))</f>
        <v>52406.162239762889</v>
      </c>
      <c r="M10" s="173">
        <f>IF($B10&gt;Inputs!$G$19,"",H10+K10+L10)</f>
        <v>858064.451014978</v>
      </c>
      <c r="N10" s="173">
        <f>IF($B10&gt;Inputs!$G$19,N9,N9+M10)</f>
        <v>247638.54416270566</v>
      </c>
      <c r="O10" s="177">
        <f>IF($B10&gt;Inputs!$G$19,"",LOOKUP($B10,'Cash Flow'!$F$2:$AJ$2,'Cash Flow'!$F$78:$AJ$78))</f>
        <v>1.4067104990236112E-2</v>
      </c>
      <c r="P10" s="178">
        <f>IF($B10&gt;Inputs!$G$19,"",LOOKUP($B10,'Cash Flow'!$F$2:$AJ$2,'Cash Flow'!$F$51:$AJ$51))</f>
        <v>1.7329790650437671</v>
      </c>
      <c r="R10" s="392">
        <f>IF($B10&gt;Inputs!$G$19,"",D10+K10+L10)</f>
        <v>3600052.1994910445</v>
      </c>
      <c r="S10" s="393">
        <f>IF($B10&gt;Inputs!$G$19,"",-(E10+F10+G10))</f>
        <v>2741987.7484760666</v>
      </c>
    </row>
    <row r="11" spans="2:19">
      <c r="B11" s="181">
        <v>5</v>
      </c>
      <c r="C11" s="176">
        <f>IF($B11&gt;Inputs!$G$19,"",IF($B11&lt;=Inputs!$Q$13,LOOKUP($B11,'Cash Flow'!$F$2:$AJ$2,'Cash Flow'!$F$21:$AJ$21),LOOKUP($B11,'Cash Flow'!$F$2:$AJ$2,'Cash Flow'!$F$23:$AJ$23)))</f>
        <v>12.849999999999998</v>
      </c>
      <c r="D11" s="173">
        <f>IF($B11&gt;Inputs!$G$19,"",LOOKUP($B11,'Cash Flow'!$F$2:$AJ$2,'Cash Flow'!$F$31:$AJ$31))</f>
        <v>3350198.1142244115</v>
      </c>
      <c r="E11" s="173">
        <f>IF($B11&gt;Inputs!$G$19,"",LOOKUP($B11,'Cash Flow'!$F$2:$AJ$2,'Cash Flow'!$F$45:$AJ$45))</f>
        <v>-1873462.3733966774</v>
      </c>
      <c r="F11" s="173">
        <f>IF($B11&gt;Inputs!$G$19,"",LOOKUP($B11,'Cash Flow'!$F$2:$AJ$2,'Cash Flow'!$F$95:$AJ$95))</f>
        <v>-829778.63182494417</v>
      </c>
      <c r="G11" s="173">
        <f>IF($B11&gt;Inputs!$G$19,"",LOOKUP($B11,'Cash Flow'!$F$2:$AJ$2,'Cash Flow'!$F$57:$AJ$57)+LOOKUP($B11,'Cash Flow'!$F$2:$AJ$2,'Cash Flow'!$F$58:$AJ$58))</f>
        <v>0</v>
      </c>
      <c r="H11" s="173">
        <f>IF($B11&gt;Inputs!$G$19,"",SUM(D11:G11))</f>
        <v>646957.10900278995</v>
      </c>
      <c r="I11" s="173">
        <f>IF($B11&gt;Inputs!$G$19,"",LOOKUP($B11,'Cash Flow'!$F$2:$AJ$2,'Cash Flow'!$F$70:$AJ$70))</f>
        <v>-545857.96277731424</v>
      </c>
      <c r="J11" s="173">
        <f>IF($B11&gt;Inputs!$G$19,"",LOOKUP($B11,'Cash Flow'!$F$2:$AJ$2,'Cash Flow'!$F$71:$AJ$71))</f>
        <v>-545857.96277731424</v>
      </c>
      <c r="K11" s="173">
        <f>IF($B11&gt;Inputs!$G$19,"",LOOKUP($B11,'Cash Flow'!$F$2:$AJ$2,'Cash Flow'!$F$73:$AJ$73)+LOOKUP($B11,'Cash Flow'!$F$2:$AJ$2,'Cash Flow'!$F$75:$AJ$75))</f>
        <v>174811.01257943487</v>
      </c>
      <c r="L11" s="173">
        <f>IF($B11&gt;Inputs!$G$19,"",LOOKUP($B11,'Cash Flow'!$F$2:$AJ$2,'Cash Flow'!$F$74:$AJ$74)+LOOKUP($B11,'Cash Flow'!$F$2:$AJ$2,'Cash Flow'!$F$76:$AJ$76))</f>
        <v>46397.926836071711</v>
      </c>
      <c r="M11" s="173">
        <f>IF($B11&gt;Inputs!$G$19,"",H11+K11+L11)</f>
        <v>868166.0484182965</v>
      </c>
      <c r="N11" s="173">
        <f>IF($B11&gt;Inputs!$G$19,N10,N10+M11)</f>
        <v>1115804.592581002</v>
      </c>
      <c r="O11" s="177">
        <f>IF($B11&gt;Inputs!$G$19,"",LOOKUP($B11,'Cash Flow'!$F$2:$AJ$2,'Cash Flow'!$F$78:$AJ$78))</f>
        <v>5.516937802484323E-2</v>
      </c>
      <c r="P11" s="178">
        <f>IF($B11&gt;Inputs!$G$19,"",LOOKUP($B11,'Cash Flow'!$F$2:$AJ$2,'Cash Flow'!$F$51:$AJ$51))</f>
        <v>1.7796743422759969</v>
      </c>
      <c r="R11" s="392">
        <f>IF($B11&gt;Inputs!$G$19,"",D11+K11+L11)</f>
        <v>3571407.0536399181</v>
      </c>
      <c r="S11" s="393">
        <f>IF($B11&gt;Inputs!$G$19,"",-(E11+F11+G11))</f>
        <v>2703241.0052216216</v>
      </c>
    </row>
    <row r="12" spans="2:19">
      <c r="B12" s="175">
        <v>6</v>
      </c>
      <c r="C12" s="176">
        <f>IF($B12&gt;Inputs!$G$19,"",IF($B12&lt;=Inputs!$Q$13,LOOKUP($B12,'Cash Flow'!$F$2:$AJ$2,'Cash Flow'!$F$21:$AJ$21),LOOKUP($B12,'Cash Flow'!$F$2:$AJ$2,'Cash Flow'!$F$23:$AJ$23)))</f>
        <v>12.849999999999998</v>
      </c>
      <c r="D12" s="173">
        <f>IF($B12&gt;Inputs!$G$19,"",LOOKUP($B12,'Cash Flow'!$F$2:$AJ$2,'Cash Flow'!$F$31:$AJ$31))</f>
        <v>3350198.1142244111</v>
      </c>
      <c r="E12" s="173">
        <f>IF($B12&gt;Inputs!$G$19,"",LOOKUP($B12,'Cash Flow'!$F$2:$AJ$2,'Cash Flow'!$F$45:$AJ$45))</f>
        <v>-1926958.3033338387</v>
      </c>
      <c r="F12" s="173">
        <f>IF($B12&gt;Inputs!$G$19,"",LOOKUP($B12,'Cash Flow'!$F$2:$AJ$2,'Cash Flow'!$F$95:$AJ$95))</f>
        <v>-829778.6318249444</v>
      </c>
      <c r="G12" s="173">
        <f>IF($B12&gt;Inputs!$G$19,"",LOOKUP($B12,'Cash Flow'!$F$2:$AJ$2,'Cash Flow'!$F$57:$AJ$57)+LOOKUP($B12,'Cash Flow'!$F$2:$AJ$2,'Cash Flow'!$F$58:$AJ$58))</f>
        <v>0</v>
      </c>
      <c r="H12" s="173">
        <f>IF($B12&gt;Inputs!$G$19,"",SUM(D12:G12))</f>
        <v>593461.17906562798</v>
      </c>
      <c r="I12" s="173">
        <f>IF($B12&gt;Inputs!$G$19,"",LOOKUP($B12,'Cash Flow'!$F$2:$AJ$2,'Cash Flow'!$F$70:$AJ$70))</f>
        <v>240803.25592376653</v>
      </c>
      <c r="J12" s="173">
        <f>IF($B12&gt;Inputs!$G$19,"",LOOKUP($B12,'Cash Flow'!$F$2:$AJ$2,'Cash Flow'!$F$71:$AJ$71))</f>
        <v>240803.25592376653</v>
      </c>
      <c r="K12" s="173">
        <f>IF($B12&gt;Inputs!$G$19,"",LOOKUP($B12,'Cash Flow'!$F$2:$AJ$2,'Cash Flow'!$F$73:$AJ$73)+LOOKUP($B12,'Cash Flow'!$F$2:$AJ$2,'Cash Flow'!$F$75:$AJ$75))</f>
        <v>-77117.242709586222</v>
      </c>
      <c r="L12" s="173">
        <f>IF($B12&gt;Inputs!$G$19,"",LOOKUP($B12,'Cash Flow'!$F$2:$AJ$2,'Cash Flow'!$F$74:$AJ$74)+LOOKUP($B12,'Cash Flow'!$F$2:$AJ$2,'Cash Flow'!$F$76:$AJ$76))</f>
        <v>-20468.276753520156</v>
      </c>
      <c r="M12" s="173">
        <f>IF($B12&gt;Inputs!$G$19,"",H12+K12+L12)</f>
        <v>495875.65960252157</v>
      </c>
      <c r="N12" s="173">
        <f>IF($B12&gt;Inputs!$G$19,N11,N11+M12)</f>
        <v>1611680.2521835235</v>
      </c>
      <c r="O12" s="177">
        <f>IF($B12&gt;Inputs!$G$19,"",LOOKUP($B12,'Cash Flow'!$F$2:$AJ$2,'Cash Flow'!$F$78:$AJ$78))</f>
        <v>7.3448675354219617E-2</v>
      </c>
      <c r="P12" s="178">
        <f>IF($B12&gt;Inputs!$G$19,"",LOOKUP($B12,'Cash Flow'!$F$2:$AJ$2,'Cash Flow'!$F$51:$AJ$51))</f>
        <v>1.7152042199019033</v>
      </c>
      <c r="R12" s="392">
        <f>IF($B12&gt;Inputs!$G$19,"",D12+K12+L12)</f>
        <v>3252612.5947613046</v>
      </c>
      <c r="S12" s="393">
        <f>IF($B12&gt;Inputs!$G$19,"",-(E12+F12+G12))</f>
        <v>2756736.9351587831</v>
      </c>
    </row>
    <row r="13" spans="2:19">
      <c r="B13" s="175">
        <v>7</v>
      </c>
      <c r="C13" s="176">
        <f>IF($B13&gt;Inputs!$G$19,"",IF($B13&lt;=Inputs!$Q$13,LOOKUP($B13,'Cash Flow'!$F$2:$AJ$2,'Cash Flow'!$F$21:$AJ$21),LOOKUP($B13,'Cash Flow'!$F$2:$AJ$2,'Cash Flow'!$F$23:$AJ$23)))</f>
        <v>12.849999999999998</v>
      </c>
      <c r="D13" s="173">
        <f>IF($B13&gt;Inputs!$G$19,"",LOOKUP($B13,'Cash Flow'!$F$2:$AJ$2,'Cash Flow'!$F$31:$AJ$31))</f>
        <v>3350198.1142244115</v>
      </c>
      <c r="E13" s="173">
        <f>IF($B13&gt;Inputs!$G$19,"",LOOKUP($B13,'Cash Flow'!$F$2:$AJ$2,'Cash Flow'!$F$45:$AJ$45))</f>
        <v>-1982178.3021746103</v>
      </c>
      <c r="F13" s="173">
        <f>IF($B13&gt;Inputs!$G$19,"",LOOKUP($B13,'Cash Flow'!$F$2:$AJ$2,'Cash Flow'!$F$95:$AJ$95))</f>
        <v>-829778.63182494428</v>
      </c>
      <c r="G13" s="173">
        <f>IF($B13&gt;Inputs!$G$19,"",LOOKUP($B13,'Cash Flow'!$F$2:$AJ$2,'Cash Flow'!$F$57:$AJ$57)+LOOKUP($B13,'Cash Flow'!$F$2:$AJ$2,'Cash Flow'!$F$58:$AJ$58))</f>
        <v>0</v>
      </c>
      <c r="H13" s="173">
        <f>IF($B13&gt;Inputs!$G$19,"",SUM(D13:G13))</f>
        <v>538241.18022485694</v>
      </c>
      <c r="I13" s="173">
        <f>IF($B13&gt;Inputs!$G$19,"",LOOKUP($B13,'Cash Flow'!$F$2:$AJ$2,'Cash Flow'!$F$70:$AJ$70))</f>
        <v>1027079.2695726902</v>
      </c>
      <c r="J13" s="173">
        <f>IF($B13&gt;Inputs!$G$19,"",LOOKUP($B13,'Cash Flow'!$F$2:$AJ$2,'Cash Flow'!$F$71:$AJ$71))</f>
        <v>1027079.2695726902</v>
      </c>
      <c r="K13" s="173">
        <f>IF($B13&gt;Inputs!$G$19,"",LOOKUP($B13,'Cash Flow'!$F$2:$AJ$2,'Cash Flow'!$F$73:$AJ$73)+LOOKUP($B13,'Cash Flow'!$F$2:$AJ$2,'Cash Flow'!$F$75:$AJ$75))</f>
        <v>-328922.13608065405</v>
      </c>
      <c r="L13" s="173">
        <f>IF($B13&gt;Inputs!$G$19,"",LOOKUP($B13,'Cash Flow'!$F$2:$AJ$2,'Cash Flow'!$F$74:$AJ$74)+LOOKUP($B13,'Cash Flow'!$F$2:$AJ$2,'Cash Flow'!$F$76:$AJ$76))</f>
        <v>-87301.737913678677</v>
      </c>
      <c r="M13" s="173">
        <f>IF($B13&gt;Inputs!$G$19,"",H13+K13+L13)</f>
        <v>122017.30623052422</v>
      </c>
      <c r="N13" s="173">
        <f>IF($B13&gt;Inputs!$G$19,N12,N12+M13)</f>
        <v>1733697.5584140478</v>
      </c>
      <c r="O13" s="177">
        <f>IF($B13&gt;Inputs!$G$19,"",LOOKUP($B13,'Cash Flow'!$F$2:$AJ$2,'Cash Flow'!$F$78:$AJ$78))</f>
        <v>7.7290328450246415E-2</v>
      </c>
      <c r="P13" s="178">
        <f>IF($B13&gt;Inputs!$G$19,"",LOOKUP($B13,'Cash Flow'!$F$2:$AJ$2,'Cash Flow'!$F$51:$AJ$51))</f>
        <v>1.6486563519249648</v>
      </c>
      <c r="R13" s="392">
        <f>IF($B13&gt;Inputs!$G$19,"",D13+K13+L13)</f>
        <v>2933974.2402300788</v>
      </c>
      <c r="S13" s="393">
        <f>IF($B13&gt;Inputs!$G$19,"",-(E13+F13+G13))</f>
        <v>2811956.9339995547</v>
      </c>
    </row>
    <row r="14" spans="2:19">
      <c r="B14" s="181">
        <v>8</v>
      </c>
      <c r="C14" s="176">
        <f>IF($B14&gt;Inputs!$G$19,"",IF($B14&lt;=Inputs!$Q$13,LOOKUP($B14,'Cash Flow'!$F$2:$AJ$2,'Cash Flow'!$F$21:$AJ$21),LOOKUP($B14,'Cash Flow'!$F$2:$AJ$2,'Cash Flow'!$F$23:$AJ$23)))</f>
        <v>12.849999999999998</v>
      </c>
      <c r="D14" s="173">
        <f>IF($B14&gt;Inputs!$G$19,"",LOOKUP($B14,'Cash Flow'!$F$2:$AJ$2,'Cash Flow'!$F$31:$AJ$31))</f>
        <v>3350198.1142244111</v>
      </c>
      <c r="E14" s="173">
        <f>IF($B14&gt;Inputs!$G$19,"",LOOKUP($B14,'Cash Flow'!$F$2:$AJ$2,'Cash Flow'!$F$45:$AJ$45))</f>
        <v>-2039183.5513095069</v>
      </c>
      <c r="F14" s="173">
        <f>IF($B14&gt;Inputs!$G$19,"",LOOKUP($B14,'Cash Flow'!$F$2:$AJ$2,'Cash Flow'!$F$95:$AJ$95))</f>
        <v>-829778.6318249444</v>
      </c>
      <c r="G14" s="173">
        <f>IF($B14&gt;Inputs!$G$19,"",LOOKUP($B14,'Cash Flow'!$F$2:$AJ$2,'Cash Flow'!$F$57:$AJ$57)+LOOKUP($B14,'Cash Flow'!$F$2:$AJ$2,'Cash Flow'!$F$58:$AJ$58))</f>
        <v>0</v>
      </c>
      <c r="H14" s="173">
        <f>IF($B14&gt;Inputs!$G$19,"",SUM(D14:G14))</f>
        <v>481235.93108995981</v>
      </c>
      <c r="I14" s="173">
        <f>IF($B14&gt;Inputs!$G$19,"",LOOKUP($B14,'Cash Flow'!$F$2:$AJ$2,'Cash Flow'!$F$70:$AJ$70))</f>
        <v>1006791.2110506165</v>
      </c>
      <c r="J14" s="173">
        <f>IF($B14&gt;Inputs!$G$19,"",LOOKUP($B14,'Cash Flow'!$F$2:$AJ$2,'Cash Flow'!$F$71:$AJ$71))</f>
        <v>1006791.2110506165</v>
      </c>
      <c r="K14" s="173">
        <f>IF($B14&gt;Inputs!$G$19,"",LOOKUP($B14,'Cash Flow'!$F$2:$AJ$2,'Cash Flow'!$F$73:$AJ$73)+LOOKUP($B14,'Cash Flow'!$F$2:$AJ$2,'Cash Flow'!$F$75:$AJ$75))</f>
        <v>-322424.88533895992</v>
      </c>
      <c r="L14" s="173">
        <f>IF($B14&gt;Inputs!$G$19,"",LOOKUP($B14,'Cash Flow'!$F$2:$AJ$2,'Cash Flow'!$F$74:$AJ$74)+LOOKUP($B14,'Cash Flow'!$F$2:$AJ$2,'Cash Flow'!$F$76:$AJ$76))</f>
        <v>-85577.252939302402</v>
      </c>
      <c r="M14" s="173">
        <f>IF($B14&gt;Inputs!$G$19,"",H14+K14+L14)</f>
        <v>73233.79281169748</v>
      </c>
      <c r="N14" s="173">
        <f>IF($B14&gt;Inputs!$G$19,N13,N13+M14)</f>
        <v>1806931.3512257454</v>
      </c>
      <c r="O14" s="177">
        <f>IF($B14&gt;Inputs!$G$19,"",LOOKUP($B14,'Cash Flow'!$F$2:$AJ$2,'Cash Flow'!$F$78:$AJ$78))</f>
        <v>7.9368820489280623E-2</v>
      </c>
      <c r="P14" s="178">
        <f>IF($B14&gt;Inputs!$G$19,"",LOOKUP($B14,'Cash Flow'!$F$2:$AJ$2,'Cash Flow'!$F$51:$AJ$51))</f>
        <v>1.5799570061614754</v>
      </c>
      <c r="R14" s="392">
        <f>IF($B14&gt;Inputs!$G$19,"",D14+K14+L14)</f>
        <v>2942195.9759461489</v>
      </c>
      <c r="S14" s="393">
        <f>IF($B14&gt;Inputs!$G$19,"",-(E14+F14+G14))</f>
        <v>2868962.1831344515</v>
      </c>
    </row>
    <row r="15" spans="2:19">
      <c r="B15" s="175">
        <v>9</v>
      </c>
      <c r="C15" s="176">
        <f>IF($B15&gt;Inputs!$G$19,"",IF($B15&lt;=Inputs!$Q$13,LOOKUP($B15,'Cash Flow'!$F$2:$AJ$2,'Cash Flow'!$F$21:$AJ$21),LOOKUP($B15,'Cash Flow'!$F$2:$AJ$2,'Cash Flow'!$F$23:$AJ$23)))</f>
        <v>12.849999999999998</v>
      </c>
      <c r="D15" s="173">
        <f>IF($B15&gt;Inputs!$G$19,"",LOOKUP($B15,'Cash Flow'!$F$2:$AJ$2,'Cash Flow'!$F$31:$AJ$31))</f>
        <v>3350198.1142244102</v>
      </c>
      <c r="E15" s="173">
        <f>IF($B15&gt;Inputs!$G$19,"",LOOKUP($B15,'Cash Flow'!$F$2:$AJ$2,'Cash Flow'!$F$45:$AJ$45))</f>
        <v>-2098037.5455532814</v>
      </c>
      <c r="F15" s="173">
        <f>IF($B15&gt;Inputs!$G$19,"",LOOKUP($B15,'Cash Flow'!$F$2:$AJ$2,'Cash Flow'!$F$95:$AJ$95))</f>
        <v>-829778.63182494417</v>
      </c>
      <c r="G15" s="173">
        <f>IF($B15&gt;Inputs!$G$19,"",LOOKUP($B15,'Cash Flow'!$F$2:$AJ$2,'Cash Flow'!$F$57:$AJ$57)+LOOKUP($B15,'Cash Flow'!$F$2:$AJ$2,'Cash Flow'!$F$58:$AJ$58))</f>
        <v>0</v>
      </c>
      <c r="H15" s="173">
        <f>IF($B15&gt;Inputs!$G$19,"",SUM(D15:G15))</f>
        <v>422381.93684618454</v>
      </c>
      <c r="I15" s="173">
        <f>IF($B15&gt;Inputs!$G$19,"",LOOKUP($B15,'Cash Flow'!$F$2:$AJ$2,'Cash Flow'!$F$70:$AJ$70))</f>
        <v>986708.39262948697</v>
      </c>
      <c r="J15" s="173">
        <f>IF($B15&gt;Inputs!$G$19,"",LOOKUP($B15,'Cash Flow'!$F$2:$AJ$2,'Cash Flow'!$F$71:$AJ$71))</f>
        <v>986708.39262948697</v>
      </c>
      <c r="K15" s="173">
        <f>IF($B15&gt;Inputs!$G$19,"",LOOKUP($B15,'Cash Flow'!$F$2:$AJ$2,'Cash Flow'!$F$73:$AJ$73)+LOOKUP($B15,'Cash Flow'!$F$2:$AJ$2,'Cash Flow'!$F$75:$AJ$75))</f>
        <v>-315993.36273959314</v>
      </c>
      <c r="L15" s="173">
        <f>IF($B15&gt;Inputs!$G$19,"",LOOKUP($B15,'Cash Flow'!$F$2:$AJ$2,'Cash Flow'!$F$74:$AJ$74)+LOOKUP($B15,'Cash Flow'!$F$2:$AJ$2,'Cash Flow'!$F$76:$AJ$76))</f>
        <v>-83870.213373506398</v>
      </c>
      <c r="M15" s="173">
        <f>IF($B15&gt;Inputs!$G$19,"",H15+K15+L15)</f>
        <v>22518.360733085006</v>
      </c>
      <c r="N15" s="173">
        <f>IF($B15&gt;Inputs!$G$19,N14,N14+M15)</f>
        <v>1829449.7119588305</v>
      </c>
      <c r="O15" s="177">
        <f>IF($B15&gt;Inputs!$G$19,"",LOOKUP($B15,'Cash Flow'!$F$2:$AJ$2,'Cash Flow'!$F$78:$AJ$78))</f>
        <v>7.9951996687817273E-2</v>
      </c>
      <c r="P15" s="178">
        <f>IF($B15&gt;Inputs!$G$19,"",LOOKUP($B15,'Cash Flow'!$F$2:$AJ$2,'Cash Flow'!$F$51:$AJ$51))</f>
        <v>1.5090296624260302</v>
      </c>
      <c r="R15" s="392">
        <f>IF($B15&gt;Inputs!$G$19,"",D15+K15+L15)</f>
        <v>2950334.5381113105</v>
      </c>
      <c r="S15" s="393">
        <f>IF($B15&gt;Inputs!$G$19,"",-(E15+F15+G15))</f>
        <v>2927816.1773782256</v>
      </c>
    </row>
    <row r="16" spans="2:19">
      <c r="B16" s="175">
        <v>10</v>
      </c>
      <c r="C16" s="176">
        <f>IF($B16&gt;Inputs!$G$19,"",IF($B16&lt;=Inputs!$Q$13,LOOKUP($B16,'Cash Flow'!$F$2:$AJ$2,'Cash Flow'!$F$21:$AJ$21),LOOKUP($B16,'Cash Flow'!$F$2:$AJ$2,'Cash Flow'!$F$23:$AJ$23)))</f>
        <v>12.849999999999998</v>
      </c>
      <c r="D16" s="173">
        <f>IF($B16&gt;Inputs!$G$19,"",LOOKUP($B16,'Cash Flow'!$F$2:$AJ$2,'Cash Flow'!$F$31:$AJ$31))</f>
        <v>3350198.1142244115</v>
      </c>
      <c r="E16" s="173">
        <f>IF($B16&gt;Inputs!$G$19,"",LOOKUP($B16,'Cash Flow'!$F$2:$AJ$2,'Cash Flow'!$F$45:$AJ$45))</f>
        <v>-2056217.707001002</v>
      </c>
      <c r="F16" s="173">
        <f>IF($B16&gt;Inputs!$G$19,"",LOOKUP($B16,'Cash Flow'!$F$2:$AJ$2,'Cash Flow'!$F$95:$AJ$95))</f>
        <v>-829778.63182494428</v>
      </c>
      <c r="G16" s="173">
        <f>IF($B16&gt;Inputs!$G$19,"",LOOKUP($B16,'Cash Flow'!$F$2:$AJ$2,'Cash Flow'!$F$57:$AJ$57)+LOOKUP($B16,'Cash Flow'!$F$2:$AJ$2,'Cash Flow'!$F$58:$AJ$58))</f>
        <v>0</v>
      </c>
      <c r="H16" s="173">
        <f>IF($B16&gt;Inputs!$G$19,"",SUM(D16:G16))</f>
        <v>464201.77539846522</v>
      </c>
      <c r="I16" s="173">
        <f>IF($B16&gt;Inputs!$G$19,"",LOOKUP($B16,'Cash Flow'!$F$2:$AJ$2,'Cash Flow'!$F$70:$AJ$70))</f>
        <v>1069965.5085983113</v>
      </c>
      <c r="J16" s="173">
        <f>IF($B16&gt;Inputs!$G$19,"",LOOKUP($B16,'Cash Flow'!$F$2:$AJ$2,'Cash Flow'!$F$71:$AJ$71))</f>
        <v>1069965.5085983113</v>
      </c>
      <c r="K16" s="173">
        <f>IF($B16&gt;Inputs!$G$19,"",LOOKUP($B16,'Cash Flow'!$F$2:$AJ$2,'Cash Flow'!$F$73:$AJ$73)+LOOKUP($B16,'Cash Flow'!$F$2:$AJ$2,'Cash Flow'!$F$75:$AJ$75))</f>
        <v>-342656.45412860921</v>
      </c>
      <c r="L16" s="173">
        <f>IF($B16&gt;Inputs!$G$19,"",LOOKUP($B16,'Cash Flow'!$F$2:$AJ$2,'Cash Flow'!$F$74:$AJ$74)+LOOKUP($B16,'Cash Flow'!$F$2:$AJ$2,'Cash Flow'!$F$76:$AJ$76))</f>
        <v>-90947.068230856472</v>
      </c>
      <c r="M16" s="173">
        <f>IF($B16&gt;Inputs!$G$19,"",H16+K16+L16)</f>
        <v>30598.253038999537</v>
      </c>
      <c r="N16" s="173">
        <f>IF($B16&gt;Inputs!$G$19,N15,N15+M16)</f>
        <v>1860047.9649978301</v>
      </c>
      <c r="O16" s="177">
        <f>IF($B16&gt;Inputs!$G$19,"",LOOKUP($B16,'Cash Flow'!$F$2:$AJ$2,'Cash Flow'!$F$78:$AJ$78))</f>
        <v>8.0679124498113763E-2</v>
      </c>
      <c r="P16" s="178">
        <f>IF($B16&gt;Inputs!$G$19,"",LOOKUP($B16,'Cash Flow'!$F$2:$AJ$2,'Cash Flow'!$F$51:$AJ$51))</f>
        <v>1.5594284518722052</v>
      </c>
      <c r="R16" s="392">
        <f>IF($B16&gt;Inputs!$G$19,"",D16+K16+L16)</f>
        <v>2916594.5918649458</v>
      </c>
      <c r="S16" s="393">
        <f>IF($B16&gt;Inputs!$G$19,"",-(E16+F16+G16))</f>
        <v>2885996.3388259462</v>
      </c>
    </row>
    <row r="17" spans="2:19">
      <c r="B17" s="181">
        <v>11</v>
      </c>
      <c r="C17" s="176">
        <f>IF($B17&gt;Inputs!$G$19,"",IF($B17&lt;=Inputs!$Q$13,LOOKUP($B17,'Cash Flow'!$F$2:$AJ$2,'Cash Flow'!$F$21:$AJ$21),LOOKUP($B17,'Cash Flow'!$F$2:$AJ$2,'Cash Flow'!$F$23:$AJ$23)))</f>
        <v>12.849999999999998</v>
      </c>
      <c r="D17" s="173">
        <f>IF($B17&gt;Inputs!$G$19,"",LOOKUP($B17,'Cash Flow'!$F$2:$AJ$2,'Cash Flow'!$F$31:$AJ$31))</f>
        <v>3350198.1142244115</v>
      </c>
      <c r="E17" s="173">
        <f>IF($B17&gt;Inputs!$G$19,"",LOOKUP($B17,'Cash Flow'!$F$2:$AJ$2,'Cash Flow'!$F$45:$AJ$45))</f>
        <v>-2114782.1022129836</v>
      </c>
      <c r="F17" s="173">
        <f>IF($B17&gt;Inputs!$G$19,"",LOOKUP($B17,'Cash Flow'!$F$2:$AJ$2,'Cash Flow'!$F$95:$AJ$95))</f>
        <v>-829778.63182494428</v>
      </c>
      <c r="G17" s="173">
        <f>IF($B17&gt;Inputs!$G$19,"",LOOKUP($B17,'Cash Flow'!$F$2:$AJ$2,'Cash Flow'!$F$57:$AJ$57)+LOOKUP($B17,'Cash Flow'!$F$2:$AJ$2,'Cash Flow'!$F$58:$AJ$58))</f>
        <v>0</v>
      </c>
      <c r="H17" s="173">
        <f>IF($B17&gt;Inputs!$G$19,"",SUM(D17:G17))</f>
        <v>405637.38018648361</v>
      </c>
      <c r="I17" s="173">
        <f>IF($B17&gt;Inputs!$G$19,"",LOOKUP($B17,'Cash Flow'!$F$2:$AJ$2,'Cash Flow'!$F$70:$AJ$70))</f>
        <v>1055689.6748958316</v>
      </c>
      <c r="J17" s="173">
        <f>IF($B17&gt;Inputs!$G$19,"",LOOKUP($B17,'Cash Flow'!$F$2:$AJ$2,'Cash Flow'!$F$71:$AJ$71))</f>
        <v>1055689.6748958316</v>
      </c>
      <c r="K17" s="173">
        <f>IF($B17&gt;Inputs!$G$19,"",LOOKUP($B17,'Cash Flow'!$F$2:$AJ$2,'Cash Flow'!$F$73:$AJ$73)+LOOKUP($B17,'Cash Flow'!$F$2:$AJ$2,'Cash Flow'!$F$75:$AJ$75))</f>
        <v>-338084.61838539003</v>
      </c>
      <c r="L17" s="173">
        <f>IF($B17&gt;Inputs!$G$19,"",LOOKUP($B17,'Cash Flow'!$F$2:$AJ$2,'Cash Flow'!$F$74:$AJ$74)+LOOKUP($B17,'Cash Flow'!$F$2:$AJ$2,'Cash Flow'!$F$76:$AJ$76))</f>
        <v>-89733.62236614569</v>
      </c>
      <c r="M17" s="173">
        <f>IF($B17&gt;Inputs!$G$19,"",H17+K17+L17)</f>
        <v>-22180.860565052106</v>
      </c>
      <c r="N17" s="173">
        <f>IF($B17&gt;Inputs!$G$19,N16,N16+M17)</f>
        <v>1837867.104432778</v>
      </c>
      <c r="O17" s="177">
        <f>IF($B17&gt;Inputs!$G$19,"",LOOKUP($B17,'Cash Flow'!$F$2:$AJ$2,'Cash Flow'!$F$78:$AJ$78))</f>
        <v>8.0192013076623381E-2</v>
      </c>
      <c r="P17" s="178">
        <f>IF($B17&gt;Inputs!$G$19,"",LOOKUP($B17,'Cash Flow'!$F$2:$AJ$2,'Cash Flow'!$F$51:$AJ$51))</f>
        <v>1.4888501157162355</v>
      </c>
      <c r="R17" s="392">
        <f>IF($B17&gt;Inputs!$G$19,"",D17+K17+L17)</f>
        <v>2922379.8734728759</v>
      </c>
      <c r="S17" s="393">
        <f>IF($B17&gt;Inputs!$G$19,"",-(E17+F17+G17))</f>
        <v>2944560.7340379278</v>
      </c>
    </row>
    <row r="18" spans="2:19">
      <c r="B18" s="175">
        <v>12</v>
      </c>
      <c r="C18" s="176">
        <f>IF($B18&gt;Inputs!$G$19,"",IF($B18&lt;=Inputs!$Q$13,LOOKUP($B18,'Cash Flow'!$F$2:$AJ$2,'Cash Flow'!$F$21:$AJ$21),LOOKUP($B18,'Cash Flow'!$F$2:$AJ$2,'Cash Flow'!$F$23:$AJ$23)))</f>
        <v>12.849999999999998</v>
      </c>
      <c r="D18" s="173">
        <f>IF($B18&gt;Inputs!$G$19,"",LOOKUP($B18,'Cash Flow'!$F$2:$AJ$2,'Cash Flow'!$F$31:$AJ$31))</f>
        <v>3350198.1142244115</v>
      </c>
      <c r="E18" s="173">
        <f>IF($B18&gt;Inputs!$G$19,"",LOOKUP($B18,'Cash Flow'!$F$2:$AJ$2,'Cash Flow'!$F$45:$AJ$45))</f>
        <v>-2175229.6237403057</v>
      </c>
      <c r="F18" s="173">
        <f>IF($B18&gt;Inputs!$G$19,"",LOOKUP($B18,'Cash Flow'!$F$2:$AJ$2,'Cash Flow'!$F$95:$AJ$95))</f>
        <v>-829778.63182494428</v>
      </c>
      <c r="G18" s="173">
        <f>IF($B18&gt;Inputs!$G$19,"",LOOKUP($B18,'Cash Flow'!$F$2:$AJ$2,'Cash Flow'!$F$57:$AJ$57)+LOOKUP($B18,'Cash Flow'!$F$2:$AJ$2,'Cash Flow'!$F$58:$AJ$58))</f>
        <v>0</v>
      </c>
      <c r="H18" s="173">
        <f>IF($B18&gt;Inputs!$G$19,"",SUM(D18:G18))</f>
        <v>345189.8586591616</v>
      </c>
      <c r="I18" s="173">
        <f>IF($B18&gt;Inputs!$G$19,"",LOOKUP($B18,'Cash Flow'!$F$2:$AJ$2,'Cash Flow'!$F$70:$AJ$70))</f>
        <v>1042680.2395098765</v>
      </c>
      <c r="J18" s="173">
        <f>IF($B18&gt;Inputs!$G$19,"",LOOKUP($B18,'Cash Flow'!$F$2:$AJ$2,'Cash Flow'!$F$71:$AJ$71))</f>
        <v>1042680.2395098765</v>
      </c>
      <c r="K18" s="173">
        <f>IF($B18&gt;Inputs!$G$19,"",LOOKUP($B18,'Cash Flow'!$F$2:$AJ$2,'Cash Flow'!$F$73:$AJ$73)+LOOKUP($B18,'Cash Flow'!$F$2:$AJ$2,'Cash Flow'!$F$75:$AJ$75))</f>
        <v>-333918.34670303791</v>
      </c>
      <c r="L18" s="173">
        <f>IF($B18&gt;Inputs!$G$19,"",LOOKUP($B18,'Cash Flow'!$F$2:$AJ$2,'Cash Flow'!$F$74:$AJ$74)+LOOKUP($B18,'Cash Flow'!$F$2:$AJ$2,'Cash Flow'!$F$76:$AJ$76))</f>
        <v>-88627.820358339508</v>
      </c>
      <c r="M18" s="173">
        <f>IF($B18&gt;Inputs!$G$19,"",H18+K18+L18)</f>
        <v>-77356.308402215815</v>
      </c>
      <c r="N18" s="173">
        <f>IF($B18&gt;Inputs!$G$19,N17,N17+M18)</f>
        <v>1760510.7960305621</v>
      </c>
      <c r="O18" s="177">
        <f>IF($B18&gt;Inputs!$G$19,"",LOOKUP($B18,'Cash Flow'!$F$2:$AJ$2,'Cash Flow'!$F$78:$AJ$78))</f>
        <v>7.858953070974084E-2</v>
      </c>
      <c r="P18" s="178">
        <f>IF($B18&gt;Inputs!$G$19,"",LOOKUP($B18,'Cash Flow'!$F$2:$AJ$2,'Cash Flow'!$F$51:$AJ$51))</f>
        <v>1.416002347397137</v>
      </c>
      <c r="R18" s="392">
        <f>IF($B18&gt;Inputs!$G$19,"",D18+K18+L18)</f>
        <v>2927651.9471630338</v>
      </c>
      <c r="S18" s="393">
        <f>IF($B18&gt;Inputs!$G$19,"",-(E18+F18+G18))</f>
        <v>3005008.2555652498</v>
      </c>
    </row>
    <row r="19" spans="2:19">
      <c r="B19" s="175">
        <v>13</v>
      </c>
      <c r="C19" s="176">
        <f>IF($B19&gt;Inputs!$G$19,"",IF($B19&lt;=Inputs!$Q$13,LOOKUP($B19,'Cash Flow'!$F$2:$AJ$2,'Cash Flow'!$F$21:$AJ$21),LOOKUP($B19,'Cash Flow'!$F$2:$AJ$2,'Cash Flow'!$F$23:$AJ$23)))</f>
        <v>12.849999999999998</v>
      </c>
      <c r="D19" s="173">
        <f>IF($B19&gt;Inputs!$G$19,"",LOOKUP($B19,'Cash Flow'!$F$2:$AJ$2,'Cash Flow'!$F$31:$AJ$31))</f>
        <v>3350198.1142244111</v>
      </c>
      <c r="E19" s="173">
        <f>IF($B19&gt;Inputs!$G$19,"",LOOKUP($B19,'Cash Flow'!$F$2:$AJ$2,'Cash Flow'!$F$45:$AJ$45))</f>
        <v>-2237626.9887382984</v>
      </c>
      <c r="F19" s="173">
        <f>IF($B19&gt;Inputs!$G$19,"",LOOKUP($B19,'Cash Flow'!$F$2:$AJ$2,'Cash Flow'!$F$95:$AJ$95))</f>
        <v>-829778.63182494417</v>
      </c>
      <c r="G19" s="173">
        <f>IF($B19&gt;Inputs!$G$19,"",LOOKUP($B19,'Cash Flow'!$F$2:$AJ$2,'Cash Flow'!$F$57:$AJ$57)+LOOKUP($B19,'Cash Flow'!$F$2:$AJ$2,'Cash Flow'!$F$58:$AJ$58))</f>
        <v>0</v>
      </c>
      <c r="H19" s="173">
        <f>IF($B19&gt;Inputs!$G$19,"",SUM(D19:G19))</f>
        <v>282792.4936611685</v>
      </c>
      <c r="I19" s="173">
        <f>IF($B19&gt;Inputs!$G$19,"",LOOKUP($B19,'Cash Flow'!$F$2:$AJ$2,'Cash Flow'!$F$70:$AJ$70))</f>
        <v>1030992.3013569459</v>
      </c>
      <c r="J19" s="173">
        <f>IF($B19&gt;Inputs!$G$19,"",LOOKUP($B19,'Cash Flow'!$F$2:$AJ$2,'Cash Flow'!$F$71:$AJ$71))</f>
        <v>1030992.3013569459</v>
      </c>
      <c r="K19" s="173">
        <f>IF($B19&gt;Inputs!$G$19,"",LOOKUP($B19,'Cash Flow'!$F$2:$AJ$2,'Cash Flow'!$F$73:$AJ$73)+LOOKUP($B19,'Cash Flow'!$F$2:$AJ$2,'Cash Flow'!$F$75:$AJ$75))</f>
        <v>-330175.2845095619</v>
      </c>
      <c r="L19" s="173">
        <f>IF($B19&gt;Inputs!$G$19,"",LOOKUP($B19,'Cash Flow'!$F$2:$AJ$2,'Cash Flow'!$F$74:$AJ$74)+LOOKUP($B19,'Cash Flow'!$F$2:$AJ$2,'Cash Flow'!$F$76:$AJ$76))</f>
        <v>-87634.345615340411</v>
      </c>
      <c r="M19" s="173">
        <f>IF($B19&gt;Inputs!$G$19,"",H19+K19+L19)</f>
        <v>-135017.1364637338</v>
      </c>
      <c r="N19" s="173">
        <f>IF($B19&gt;Inputs!$G$19,N18,N18+M19)</f>
        <v>1625493.6595668283</v>
      </c>
      <c r="O19" s="177">
        <f>IF($B19&gt;Inputs!$G$19,"",LOOKUP($B19,'Cash Flow'!$F$2:$AJ$2,'Cash Flow'!$F$78:$AJ$78))</f>
        <v>7.5883795890590688E-2</v>
      </c>
      <c r="P19" s="178">
        <f>IF($B19&gt;Inputs!$G$19,"",LOOKUP($B19,'Cash Flow'!$F$2:$AJ$2,'Cash Flow'!$F$51:$AJ$51))</f>
        <v>1.3408047433557295</v>
      </c>
      <c r="R19" s="392">
        <f>IF($B19&gt;Inputs!$G$19,"",D19+K19+L19)</f>
        <v>2932388.4840995087</v>
      </c>
      <c r="S19" s="393">
        <f>IF($B19&gt;Inputs!$G$19,"",-(E19+F19+G19))</f>
        <v>3067405.6205632426</v>
      </c>
    </row>
    <row r="20" spans="2:19" ht="15">
      <c r="B20" s="181">
        <v>14</v>
      </c>
      <c r="C20" s="176">
        <f>IF($B20&gt;Inputs!$G$19,"",IF($B20&lt;=Inputs!$Q$13,LOOKUP($B20,'Cash Flow'!$F$2:$AJ$2,'Cash Flow'!$F$21:$AJ$21),LOOKUP($B20,'Cash Flow'!$F$2:$AJ$2,'Cash Flow'!$F$23:$AJ$23)))</f>
        <v>12.849999999999998</v>
      </c>
      <c r="D20" s="173">
        <f>IF($B20&gt;Inputs!$G$19,"",LOOKUP($B20,'Cash Flow'!$F$2:$AJ$2,'Cash Flow'!$F$31:$AJ$31))</f>
        <v>3347086.4443550673</v>
      </c>
      <c r="E20" s="173">
        <f>IF($B20&gt;Inputs!$G$19,"",LOOKUP($B20,'Cash Flow'!$F$2:$AJ$2,'Cash Flow'!$F$45:$AJ$45))</f>
        <v>-2302043.4346086262</v>
      </c>
      <c r="F20" s="173">
        <f>IF($B20&gt;Inputs!$G$19,"",LOOKUP($B20,'Cash Flow'!$F$2:$AJ$2,'Cash Flow'!$F$95:$AJ$95))</f>
        <v>0</v>
      </c>
      <c r="G20" s="173">
        <f>IF($B20&gt;Inputs!$G$19,"",LOOKUP($B20,'Cash Flow'!$F$2:$AJ$2,'Cash Flow'!$F$57:$AJ$57)+LOOKUP($B20,'Cash Flow'!$F$2:$AJ$2,'Cash Flow'!$F$58:$AJ$58))</f>
        <v>414889.31591247208</v>
      </c>
      <c r="H20" s="173">
        <f>IF($B20&gt;Inputs!$G$19,"",SUM(D20:G20))</f>
        <v>1459932.3256589132</v>
      </c>
      <c r="I20" s="173">
        <f>IF($B20&gt;Inputs!$G$19,"",LOOKUP($B20,'Cash Flow'!$F$2:$AJ$2,'Cash Flow'!$F$70:$AJ$70))</f>
        <v>1017772.5976676912</v>
      </c>
      <c r="J20" s="173">
        <f>IF($B20&gt;Inputs!$G$19,"",LOOKUP($B20,'Cash Flow'!$F$2:$AJ$2,'Cash Flow'!$F$71:$AJ$71))</f>
        <v>1017772.5976676912</v>
      </c>
      <c r="K20" s="173">
        <f>IF($B20&gt;Inputs!$G$19,"",LOOKUP($B20,'Cash Flow'!$F$2:$AJ$2,'Cash Flow'!$F$73:$AJ$73)+LOOKUP($B20,'Cash Flow'!$F$2:$AJ$2,'Cash Flow'!$F$75:$AJ$75))</f>
        <v>-325941.6744030781</v>
      </c>
      <c r="L20" s="173">
        <f>IF($B20&gt;Inputs!$G$19,"",LOOKUP($B20,'Cash Flow'!$F$2:$AJ$2,'Cash Flow'!$F$74:$AJ$74)+LOOKUP($B20,'Cash Flow'!$F$2:$AJ$2,'Cash Flow'!$F$76:$AJ$76))</f>
        <v>-86510.67080175376</v>
      </c>
      <c r="M20" s="173">
        <f>IF($B20&gt;Inputs!$G$19,"",H20+K20+L20)</f>
        <v>1047479.9804540813</v>
      </c>
      <c r="N20" s="173">
        <f>IF($B20&gt;Inputs!$G$19,N19,N19+M20)</f>
        <v>2672973.6400209097</v>
      </c>
      <c r="O20" s="177">
        <f>IF($B20&gt;Inputs!$G$19,"",LOOKUP($B20,'Cash Flow'!$F$2:$AJ$2,'Cash Flow'!$F$78:$AJ$78))</f>
        <v>9.2529425809598109E-2</v>
      </c>
      <c r="P20" s="178" t="str">
        <f>IF($B20&gt;Inputs!$G$19,"",LOOKUP($B20,'Cash Flow'!$F$2:$AJ$2,'Cash Flow'!$F$51:$AJ$51))</f>
        <v>N/A</v>
      </c>
      <c r="R20" s="392">
        <f>IF($B20&gt;Inputs!$G$19,"",D20+K20+L20)</f>
        <v>2934634.0991502358</v>
      </c>
      <c r="S20" s="393">
        <f>IF($B20&gt;Inputs!$G$19,"",-(E20+F20+G20))</f>
        <v>1887154.1186961541</v>
      </c>
    </row>
    <row r="21" spans="2:19" ht="15">
      <c r="B21" s="175">
        <v>15</v>
      </c>
      <c r="C21" s="176">
        <f>IF($B21&gt;Inputs!$G$19,"",IF($B21&lt;=Inputs!$Q$13,LOOKUP($B21,'Cash Flow'!$F$2:$AJ$2,'Cash Flow'!$F$21:$AJ$21),LOOKUP($B21,'Cash Flow'!$F$2:$AJ$2,'Cash Flow'!$F$23:$AJ$23)))</f>
        <v>12.849999999999998</v>
      </c>
      <c r="D21" s="173">
        <f>IF($B21&gt;Inputs!$G$19,"",LOOKUP($B21,'Cash Flow'!$F$2:$AJ$2,'Cash Flow'!$F$31:$AJ$31))</f>
        <v>3343974.7744857245</v>
      </c>
      <c r="E21" s="173">
        <f>IF($B21&gt;Inputs!$G$19,"",LOOKUP($B21,'Cash Flow'!$F$2:$AJ$2,'Cash Flow'!$F$45:$AJ$45))</f>
        <v>-2256915.2841304662</v>
      </c>
      <c r="F21" s="173">
        <f>IF($B21&gt;Inputs!$G$19,"",LOOKUP($B21,'Cash Flow'!$F$2:$AJ$2,'Cash Flow'!$F$95:$AJ$95))</f>
        <v>0</v>
      </c>
      <c r="G21" s="173">
        <f>IF($B21&gt;Inputs!$G$19,"",LOOKUP($B21,'Cash Flow'!$F$2:$AJ$2,'Cash Flow'!$F$57:$AJ$57)+LOOKUP($B21,'Cash Flow'!$F$2:$AJ$2,'Cash Flow'!$F$58:$AJ$58))</f>
        <v>0</v>
      </c>
      <c r="H21" s="173">
        <f>IF($B21&gt;Inputs!$G$19,"",SUM(D21:G21))</f>
        <v>1087059.4903552583</v>
      </c>
      <c r="I21" s="173">
        <f>IF($B21&gt;Inputs!$G$19,"",LOOKUP($B21,'Cash Flow'!$F$2:$AJ$2,'Cash Flow'!$F$70:$AJ$70))</f>
        <v>1059765.2496165084</v>
      </c>
      <c r="J21" s="173">
        <f>IF($B21&gt;Inputs!$G$19,"",LOOKUP($B21,'Cash Flow'!$F$2:$AJ$2,'Cash Flow'!$F$71:$AJ$71))</f>
        <v>1059765.2496165084</v>
      </c>
      <c r="K21" s="173">
        <f>IF($B21&gt;Inputs!$G$19,"",LOOKUP($B21,'Cash Flow'!$F$2:$AJ$2,'Cash Flow'!$F$73:$AJ$73)+LOOKUP($B21,'Cash Flow'!$F$2:$AJ$2,'Cash Flow'!$F$75:$AJ$75))</f>
        <v>-339389.82118968677</v>
      </c>
      <c r="L21" s="173">
        <f>IF($B21&gt;Inputs!$G$19,"",LOOKUP($B21,'Cash Flow'!$F$2:$AJ$2,'Cash Flow'!$F$74:$AJ$74)+LOOKUP($B21,'Cash Flow'!$F$2:$AJ$2,'Cash Flow'!$F$76:$AJ$76))</f>
        <v>-90080.046217403215</v>
      </c>
      <c r="M21" s="173">
        <f>IF($B21&gt;Inputs!$G$19,"",H21+K21+L21)</f>
        <v>657589.62294816831</v>
      </c>
      <c r="N21" s="173">
        <f>IF($B21&gt;Inputs!$G$19,N20,N20+M21)</f>
        <v>3330563.262969078</v>
      </c>
      <c r="O21" s="177">
        <f>IF($B21&gt;Inputs!$G$19,"",LOOKUP($B21,'Cash Flow'!$F$2:$AJ$2,'Cash Flow'!$F$78:$AJ$78))</f>
        <v>9.9958835914971678E-2</v>
      </c>
      <c r="P21" s="178" t="str">
        <f>IF($B21&gt;Inputs!$G$19,"",LOOKUP($B21,'Cash Flow'!$F$2:$AJ$2,'Cash Flow'!$F$51:$AJ$51))</f>
        <v>N/A</v>
      </c>
      <c r="R21" s="392">
        <f>IF($B21&gt;Inputs!$G$19,"",D21+K21+L21)</f>
        <v>2914504.9070786345</v>
      </c>
      <c r="S21" s="393">
        <f>IF($B21&gt;Inputs!$G$19,"",-(E21+F21+G21))</f>
        <v>2256915.2841304662</v>
      </c>
    </row>
    <row r="22" spans="2:19" ht="15">
      <c r="B22" s="175">
        <v>16</v>
      </c>
      <c r="C22" s="176">
        <f>IF($B22&gt;Inputs!$G$19,"",IF($B22&lt;=Inputs!$Q$13,LOOKUP($B22,'Cash Flow'!$F$2:$AJ$2,'Cash Flow'!$F$21:$AJ$21),LOOKUP($B22,'Cash Flow'!$F$2:$AJ$2,'Cash Flow'!$F$23:$AJ$23)))</f>
        <v>12.849999999999998</v>
      </c>
      <c r="D22" s="173">
        <f>IF($B22&gt;Inputs!$G$19,"",LOOKUP($B22,'Cash Flow'!$F$2:$AJ$2,'Cash Flow'!$F$31:$AJ$31))</f>
        <v>3343974.7744857245</v>
      </c>
      <c r="E22" s="173">
        <f>IF($B22&gt;Inputs!$G$19,"",LOOKUP($B22,'Cash Flow'!$F$2:$AJ$2,'Cash Flow'!$F$45:$AJ$45))</f>
        <v>-2321031.6305383286</v>
      </c>
      <c r="F22" s="173">
        <f>IF($B22&gt;Inputs!$G$19,"",LOOKUP($B22,'Cash Flow'!$F$2:$AJ$2,'Cash Flow'!$F$95:$AJ$95))</f>
        <v>0</v>
      </c>
      <c r="G22" s="173">
        <f>IF($B22&gt;Inputs!$G$19,"",LOOKUP($B22,'Cash Flow'!$F$2:$AJ$2,'Cash Flow'!$F$57:$AJ$57)+LOOKUP($B22,'Cash Flow'!$F$2:$AJ$2,'Cash Flow'!$F$58:$AJ$58))</f>
        <v>0</v>
      </c>
      <c r="H22" s="173">
        <f>IF($B22&gt;Inputs!$G$19,"",SUM(D22:G22))</f>
        <v>1022943.143947396</v>
      </c>
      <c r="I22" s="173">
        <f>IF($B22&gt;Inputs!$G$19,"",LOOKUP($B22,'Cash Flow'!$F$2:$AJ$2,'Cash Flow'!$F$70:$AJ$70))</f>
        <v>1002262.845649896</v>
      </c>
      <c r="J22" s="173">
        <f>IF($B22&gt;Inputs!$G$19,"",LOOKUP($B22,'Cash Flow'!$F$2:$AJ$2,'Cash Flow'!$F$71:$AJ$71))</f>
        <v>1002262.845649896</v>
      </c>
      <c r="K22" s="173">
        <f>IF($B22&gt;Inputs!$G$19,"",LOOKUP($B22,'Cash Flow'!$F$2:$AJ$2,'Cash Flow'!$F$73:$AJ$73)+LOOKUP($B22,'Cash Flow'!$F$2:$AJ$2,'Cash Flow'!$F$75:$AJ$75))</f>
        <v>-320974.67631937913</v>
      </c>
      <c r="L22" s="173">
        <f>IF($B22&gt;Inputs!$G$19,"",LOOKUP($B22,'Cash Flow'!$F$2:$AJ$2,'Cash Flow'!$F$74:$AJ$74)+LOOKUP($B22,'Cash Flow'!$F$2:$AJ$2,'Cash Flow'!$F$76:$AJ$76))</f>
        <v>-85192.341880241162</v>
      </c>
      <c r="M22" s="173">
        <f>IF($B22&gt;Inputs!$G$19,"",H22+K22+L22)</f>
        <v>616776.12574777566</v>
      </c>
      <c r="N22" s="173">
        <f>IF($B22&gt;Inputs!$G$19,N21,N21+M22)</f>
        <v>3947339.3887168537</v>
      </c>
      <c r="O22" s="177">
        <f>IF($B22&gt;Inputs!$G$19,"",LOOKUP($B22,'Cash Flow'!$F$2:$AJ$2,'Cash Flow'!$F$78:$AJ$78))</f>
        <v>0.10545160986673552</v>
      </c>
      <c r="P22" s="178" t="str">
        <f>IF($B22&gt;Inputs!$G$19,"",LOOKUP($B22,'Cash Flow'!$F$2:$AJ$2,'Cash Flow'!$F$51:$AJ$51))</f>
        <v>N/A</v>
      </c>
      <c r="R22" s="392">
        <f>IF($B22&gt;Inputs!$G$19,"",D22+K22+L22)</f>
        <v>2937807.7562861047</v>
      </c>
      <c r="S22" s="393">
        <f>IF($B22&gt;Inputs!$G$19,"",-(E22+F22+G22))</f>
        <v>2321031.6305383286</v>
      </c>
    </row>
    <row r="23" spans="2:19" ht="15">
      <c r="B23" s="181">
        <v>17</v>
      </c>
      <c r="C23" s="176">
        <f>IF($B23&gt;Inputs!$G$19,"",IF($B23&lt;=Inputs!$Q$13,LOOKUP($B23,'Cash Flow'!$F$2:$AJ$2,'Cash Flow'!$F$21:$AJ$21),LOOKUP($B23,'Cash Flow'!$F$2:$AJ$2,'Cash Flow'!$F$23:$AJ$23)))</f>
        <v>12.849999999999998</v>
      </c>
      <c r="D23" s="173">
        <f>IF($B23&gt;Inputs!$G$19,"",LOOKUP($B23,'Cash Flow'!$F$2:$AJ$2,'Cash Flow'!$F$31:$AJ$31))</f>
        <v>3343974.7744857231</v>
      </c>
      <c r="E23" s="173">
        <f>IF($B23&gt;Inputs!$G$19,"",LOOKUP($B23,'Cash Flow'!$F$2:$AJ$2,'Cash Flow'!$F$45:$AJ$45))</f>
        <v>-2387204.9177815006</v>
      </c>
      <c r="F23" s="173">
        <f>IF($B23&gt;Inputs!$G$19,"",LOOKUP($B23,'Cash Flow'!$F$2:$AJ$2,'Cash Flow'!$F$95:$AJ$95))</f>
        <v>0</v>
      </c>
      <c r="G23" s="173">
        <f>IF($B23&gt;Inputs!$G$19,"",LOOKUP($B23,'Cash Flow'!$F$2:$AJ$2,'Cash Flow'!$F$57:$AJ$57)+LOOKUP($B23,'Cash Flow'!$F$2:$AJ$2,'Cash Flow'!$F$58:$AJ$58))</f>
        <v>0</v>
      </c>
      <c r="H23" s="173">
        <f>IF($B23&gt;Inputs!$G$19,"",SUM(D23:G23))</f>
        <v>956769.8567042225</v>
      </c>
      <c r="I23" s="173">
        <f>IF($B23&gt;Inputs!$G$19,"",LOOKUP($B23,'Cash Flow'!$F$2:$AJ$2,'Cash Flow'!$F$70:$AJ$70))</f>
        <v>942678.18289672246</v>
      </c>
      <c r="J23" s="173">
        <f>IF($B23&gt;Inputs!$G$19,"",LOOKUP($B23,'Cash Flow'!$F$2:$AJ$2,'Cash Flow'!$F$71:$AJ$71))</f>
        <v>942678.18289672246</v>
      </c>
      <c r="K23" s="173">
        <f>IF($B23&gt;Inputs!$G$19,"",LOOKUP($B23,'Cash Flow'!$F$2:$AJ$2,'Cash Flow'!$F$73:$AJ$73)+LOOKUP($B23,'Cash Flow'!$F$2:$AJ$2,'Cash Flow'!$F$75:$AJ$75))</f>
        <v>-301892.68807267537</v>
      </c>
      <c r="L23" s="173">
        <f>IF($B23&gt;Inputs!$G$19,"",LOOKUP($B23,'Cash Flow'!$F$2:$AJ$2,'Cash Flow'!$F$74:$AJ$74)+LOOKUP($B23,'Cash Flow'!$F$2:$AJ$2,'Cash Flow'!$F$76:$AJ$76))</f>
        <v>-80127.645546221422</v>
      </c>
      <c r="M23" s="173">
        <f>IF($B23&gt;Inputs!$G$19,"",H23+K23+L23)</f>
        <v>574749.52308532572</v>
      </c>
      <c r="N23" s="173">
        <f>IF($B23&gt;Inputs!$G$19,N22,N22+M23)</f>
        <v>4522088.9118021792</v>
      </c>
      <c r="O23" s="177">
        <f>IF($B23&gt;Inputs!$G$19,"",LOOKUP($B23,'Cash Flow'!$F$2:$AJ$2,'Cash Flow'!$F$78:$AJ$78))</f>
        <v>0.10959256279756691</v>
      </c>
      <c r="P23" s="178" t="str">
        <f>IF($B23&gt;Inputs!$G$19,"",LOOKUP($B23,'Cash Flow'!$F$2:$AJ$2,'Cash Flow'!$F$51:$AJ$51))</f>
        <v>N/A</v>
      </c>
      <c r="R23" s="392">
        <f>IF($B23&gt;Inputs!$G$19,"",D23+K23+L23)</f>
        <v>2961954.4408668261</v>
      </c>
      <c r="S23" s="393">
        <f>IF($B23&gt;Inputs!$G$19,"",-(E23+F23+G23))</f>
        <v>2387204.9177815006</v>
      </c>
    </row>
    <row r="24" spans="2:19" ht="15">
      <c r="B24" s="175">
        <v>18</v>
      </c>
      <c r="C24" s="176">
        <f>IF($B24&gt;Inputs!$G$19,"",IF($B24&lt;=Inputs!$Q$13,LOOKUP($B24,'Cash Flow'!$F$2:$AJ$2,'Cash Flow'!$F$21:$AJ$21),LOOKUP($B24,'Cash Flow'!$F$2:$AJ$2,'Cash Flow'!$F$23:$AJ$23)))</f>
        <v>12.849999999999998</v>
      </c>
      <c r="D24" s="173">
        <f>IF($B24&gt;Inputs!$G$19,"",LOOKUP($B24,'Cash Flow'!$F$2:$AJ$2,'Cash Flow'!$F$31:$AJ$31))</f>
        <v>3343974.7744857245</v>
      </c>
      <c r="E24" s="173">
        <f>IF($B24&gt;Inputs!$G$19,"",LOOKUP($B24,'Cash Flow'!$F$2:$AJ$2,'Cash Flow'!$F$45:$AJ$45))</f>
        <v>-2455507.9015708603</v>
      </c>
      <c r="F24" s="173">
        <f>IF($B24&gt;Inputs!$G$19,"",LOOKUP($B24,'Cash Flow'!$F$2:$AJ$2,'Cash Flow'!$F$95:$AJ$95))</f>
        <v>0</v>
      </c>
      <c r="G24" s="173">
        <f>IF($B24&gt;Inputs!$G$19,"",LOOKUP($B24,'Cash Flow'!$F$2:$AJ$2,'Cash Flow'!$F$57:$AJ$57)+LOOKUP($B24,'Cash Flow'!$F$2:$AJ$2,'Cash Flow'!$F$58:$AJ$58))</f>
        <v>0</v>
      </c>
      <c r="H24" s="173">
        <f>IF($B24&gt;Inputs!$G$19,"",SUM(D24:G24))</f>
        <v>888466.87291486422</v>
      </c>
      <c r="I24" s="173">
        <f>IF($B24&gt;Inputs!$G$19,"",LOOKUP($B24,'Cash Flow'!$F$2:$AJ$2,'Cash Flow'!$F$70:$AJ$70))</f>
        <v>874376.68839861418</v>
      </c>
      <c r="J24" s="173">
        <f>IF($B24&gt;Inputs!$G$19,"",LOOKUP($B24,'Cash Flow'!$F$2:$AJ$2,'Cash Flow'!$F$71:$AJ$71))</f>
        <v>874376.68839861418</v>
      </c>
      <c r="K24" s="173">
        <f>IF($B24&gt;Inputs!$G$19,"",LOOKUP($B24,'Cash Flow'!$F$2:$AJ$2,'Cash Flow'!$F$73:$AJ$73)+LOOKUP($B24,'Cash Flow'!$F$2:$AJ$2,'Cash Flow'!$F$75:$AJ$75))</f>
        <v>-280019.1344596562</v>
      </c>
      <c r="L24" s="173">
        <f>IF($B24&gt;Inputs!$G$19,"",LOOKUP($B24,'Cash Flow'!$F$2:$AJ$2,'Cash Flow'!$F$74:$AJ$74)+LOOKUP($B24,'Cash Flow'!$F$2:$AJ$2,'Cash Flow'!$F$76:$AJ$76))</f>
        <v>-74322.018513882213</v>
      </c>
      <c r="M24" s="173">
        <f>IF($B24&gt;Inputs!$G$19,"",H24+K24+L24)</f>
        <v>534125.71994132583</v>
      </c>
      <c r="N24" s="173">
        <f>IF($B24&gt;Inputs!$G$19,N23,N23+M24)</f>
        <v>5056214.6317435047</v>
      </c>
      <c r="O24" s="177">
        <f>IF($B24&gt;Inputs!$G$19,"",LOOKUP($B24,'Cash Flow'!$F$2:$AJ$2,'Cash Flow'!$F$78:$AJ$78))</f>
        <v>0.11276451730506665</v>
      </c>
      <c r="P24" s="178" t="str">
        <f>IF($B24&gt;Inputs!$G$19,"",LOOKUP($B24,'Cash Flow'!$F$2:$AJ$2,'Cash Flow'!$F$51:$AJ$51))</f>
        <v>N/A</v>
      </c>
      <c r="R24" s="392">
        <f>IF($B24&gt;Inputs!$G$19,"",D24+K24+L24)</f>
        <v>2989633.6215121862</v>
      </c>
      <c r="S24" s="393">
        <f>IF($B24&gt;Inputs!$G$19,"",-(E24+F24+G24))</f>
        <v>2455507.9015708603</v>
      </c>
    </row>
    <row r="25" spans="2:19" ht="15">
      <c r="B25" s="175">
        <v>19</v>
      </c>
      <c r="C25" s="176">
        <f>IF($B25&gt;Inputs!$G$19,"",IF($B25&lt;=Inputs!$Q$13,LOOKUP($B25,'Cash Flow'!$F$2:$AJ$2,'Cash Flow'!$F$21:$AJ$21),LOOKUP($B25,'Cash Flow'!$F$2:$AJ$2,'Cash Flow'!$F$23:$AJ$23)))</f>
        <v>12.849999999999998</v>
      </c>
      <c r="D25" s="173">
        <f>IF($B25&gt;Inputs!$G$19,"",LOOKUP($B25,'Cash Flow'!$F$2:$AJ$2,'Cash Flow'!$F$31:$AJ$31))</f>
        <v>3343974.7744857245</v>
      </c>
      <c r="E25" s="173">
        <f>IF($B25&gt;Inputs!$G$19,"",LOOKUP($B25,'Cash Flow'!$F$2:$AJ$2,'Cash Flow'!$F$45:$AJ$45))</f>
        <v>-2526016.083216975</v>
      </c>
      <c r="F25" s="173">
        <f>IF($B25&gt;Inputs!$G$19,"",LOOKUP($B25,'Cash Flow'!$F$2:$AJ$2,'Cash Flow'!$F$95:$AJ$95))</f>
        <v>0</v>
      </c>
      <c r="G25" s="173">
        <f>IF($B25&gt;Inputs!$G$19,"",LOOKUP($B25,'Cash Flow'!$F$2:$AJ$2,'Cash Flow'!$F$57:$AJ$57)+LOOKUP($B25,'Cash Flow'!$F$2:$AJ$2,'Cash Flow'!$F$58:$AJ$58))</f>
        <v>0</v>
      </c>
      <c r="H25" s="173">
        <f>IF($B25&gt;Inputs!$G$19,"",SUM(D25:G25))</f>
        <v>817958.69126874954</v>
      </c>
      <c r="I25" s="173">
        <f>IF($B25&gt;Inputs!$G$19,"",LOOKUP($B25,'Cash Flow'!$F$2:$AJ$2,'Cash Flow'!$F$70:$AJ$70))</f>
        <v>803867.01746124949</v>
      </c>
      <c r="J25" s="173">
        <f>IF($B25&gt;Inputs!$G$19,"",LOOKUP($B25,'Cash Flow'!$F$2:$AJ$2,'Cash Flow'!$F$71:$AJ$71))</f>
        <v>803867.01746124949</v>
      </c>
      <c r="K25" s="173">
        <f>IF($B25&gt;Inputs!$G$19,"",LOOKUP($B25,'Cash Flow'!$F$2:$AJ$2,'Cash Flow'!$F$73:$AJ$73)+LOOKUP($B25,'Cash Flow'!$F$2:$AJ$2,'Cash Flow'!$F$75:$AJ$75))</f>
        <v>-257438.41234196513</v>
      </c>
      <c r="L25" s="173">
        <f>IF($B25&gt;Inputs!$G$19,"",LOOKUP($B25,'Cash Flow'!$F$2:$AJ$2,'Cash Flow'!$F$74:$AJ$74)+LOOKUP($B25,'Cash Flow'!$F$2:$AJ$2,'Cash Flow'!$F$76:$AJ$76))</f>
        <v>-68328.696484206215</v>
      </c>
      <c r="M25" s="173">
        <f>IF($B25&gt;Inputs!$G$19,"",H25+K25+L25)</f>
        <v>492191.58244257816</v>
      </c>
      <c r="N25" s="173">
        <f>IF($B25&gt;Inputs!$G$19,N24,N24+M25)</f>
        <v>5548406.2141860826</v>
      </c>
      <c r="O25" s="177">
        <f>IF($B25&gt;Inputs!$G$19,"",LOOKUP($B25,'Cash Flow'!$F$2:$AJ$2,'Cash Flow'!$F$78:$AJ$78))</f>
        <v>0.11520813241858097</v>
      </c>
      <c r="P25" s="178" t="str">
        <f>IF($B25&gt;Inputs!$G$19,"",LOOKUP($B25,'Cash Flow'!$F$2:$AJ$2,'Cash Flow'!$F$51:$AJ$51))</f>
        <v>N/A</v>
      </c>
      <c r="R25" s="392">
        <f>IF($B25&gt;Inputs!$G$19,"",D25+K25+L25)</f>
        <v>3018207.6656595534</v>
      </c>
      <c r="S25" s="393">
        <f>IF($B25&gt;Inputs!$G$19,"",-(E25+F25+G25))</f>
        <v>2526016.083216975</v>
      </c>
    </row>
    <row r="26" spans="2:19" ht="15">
      <c r="B26" s="181">
        <v>20</v>
      </c>
      <c r="C26" s="176">
        <f>IF($B26&gt;Inputs!$G$19,"",IF($B26&lt;=Inputs!$Q$13,LOOKUP($B26,'Cash Flow'!$F$2:$AJ$2,'Cash Flow'!$F$21:$AJ$21),LOOKUP($B26,'Cash Flow'!$F$2:$AJ$2,'Cash Flow'!$F$23:$AJ$23)))</f>
        <v>12.849999999999998</v>
      </c>
      <c r="D26" s="173">
        <f>IF($B26&gt;Inputs!$G$19,"",LOOKUP($B26,'Cash Flow'!$F$2:$AJ$2,'Cash Flow'!$F$31:$AJ$31))</f>
        <v>3335994.282242862</v>
      </c>
      <c r="E26" s="173">
        <f>IF($B26&gt;Inputs!$G$19,"",LOOKUP($B26,'Cash Flow'!$F$2:$AJ$2,'Cash Flow'!$F$45:$AJ$45))</f>
        <v>-2477327.386304081</v>
      </c>
      <c r="F26" s="173">
        <f>IF($B26&gt;Inputs!$G$19,"",LOOKUP($B26,'Cash Flow'!$F$2:$AJ$2,'Cash Flow'!$F$95:$AJ$95))</f>
        <v>0</v>
      </c>
      <c r="G26" s="173">
        <f>IF($B26&gt;Inputs!$G$19,"",LOOKUP($B26,'Cash Flow'!$F$2:$AJ$2,'Cash Flow'!$F$57:$AJ$57)+LOOKUP($B26,'Cash Flow'!$F$2:$AJ$2,'Cash Flow'!$F$58:$AJ$58))</f>
        <v>1064065.6323816241</v>
      </c>
      <c r="H26" s="173">
        <f>IF($B26&gt;Inputs!$G$19,"",SUM(D26:G26))</f>
        <v>1922732.5283204052</v>
      </c>
      <c r="I26" s="173">
        <f>IF($B26&gt;Inputs!$G$19,"",LOOKUP($B26,'Cash Flow'!$F$2:$AJ$2,'Cash Flow'!$F$70:$AJ$70))</f>
        <v>844576.71142253105</v>
      </c>
      <c r="J26" s="173">
        <f>IF($B26&gt;Inputs!$G$19,"",LOOKUP($B26,'Cash Flow'!$F$2:$AJ$2,'Cash Flow'!$F$71:$AJ$71))</f>
        <v>844576.71142253105</v>
      </c>
      <c r="K26" s="173">
        <f>IF($B26&gt;Inputs!$G$19,"",LOOKUP($B26,'Cash Flow'!$F$2:$AJ$2,'Cash Flow'!$F$73:$AJ$73)+LOOKUP($B26,'Cash Flow'!$F$2:$AJ$2,'Cash Flow'!$F$75:$AJ$75))</f>
        <v>-270475.69183306553</v>
      </c>
      <c r="L26" s="173">
        <f>IF($B26&gt;Inputs!$G$19,"",LOOKUP($B26,'Cash Flow'!$F$2:$AJ$2,'Cash Flow'!$F$74:$AJ$74)+LOOKUP($B26,'Cash Flow'!$F$2:$AJ$2,'Cash Flow'!$F$76:$AJ$76))</f>
        <v>-71789.020470915144</v>
      </c>
      <c r="M26" s="173">
        <f>IF($B26&gt;Inputs!$G$19,"",H26+K26+L26)</f>
        <v>1580467.8160164244</v>
      </c>
      <c r="N26" s="173">
        <f>IF($B26&gt;Inputs!$G$19,N25,N25+M26)</f>
        <v>7128874.030202507</v>
      </c>
      <c r="O26" s="177">
        <f>IF($B26&gt;Inputs!$G$19,"",LOOKUP($B26,'Cash Flow'!$F$2:$AJ$2,'Cash Flow'!$F$78:$AJ$78))</f>
        <v>0.12144848034410982</v>
      </c>
      <c r="P26" s="178" t="str">
        <f>IF($B26&gt;Inputs!$G$19,"",LOOKUP($B26,'Cash Flow'!$F$2:$AJ$2,'Cash Flow'!$F$51:$AJ$51))</f>
        <v>N/A</v>
      </c>
      <c r="R26" s="392">
        <f>IF($B26&gt;Inputs!$G$19,"",D26+K26+L26)</f>
        <v>2993729.5699388813</v>
      </c>
      <c r="S26" s="393">
        <f>IF($B26&gt;Inputs!$G$19,"",-(E26+F26+G26))</f>
        <v>1413261.7539224569</v>
      </c>
    </row>
    <row r="27" spans="2:19" ht="15">
      <c r="B27" s="175">
        <v>21</v>
      </c>
      <c r="C27" s="176" t="str">
        <f>IF($B27&gt;Inputs!$G$19,"",IF($B27&lt;=Inputs!$Q$13,LOOKUP($B27,'Cash Flow'!$F$2:$AJ$2,'Cash Flow'!$F$21:$AJ$21),LOOKUP($B27,'Cash Flow'!$F$2:$AJ$2,'Cash Flow'!$F$23:$AJ$23)))</f>
        <v/>
      </c>
      <c r="D27" s="173" t="str">
        <f>IF($B27&gt;Inputs!$G$19,"",LOOKUP($B27,'Cash Flow'!$F$2:$AJ$2,'Cash Flow'!$F$31:$AJ$31))</f>
        <v/>
      </c>
      <c r="E27" s="173" t="str">
        <f>IF($B27&gt;Inputs!$G$19,"",LOOKUP($B27,'Cash Flow'!$F$2:$AJ$2,'Cash Flow'!$F$45:$AJ$45))</f>
        <v/>
      </c>
      <c r="F27" s="173" t="str">
        <f>IF($B27&gt;Inputs!$G$19,"",LOOKUP($B27,'Cash Flow'!$F$2:$AJ$2,'Cash Flow'!$F$95:$AJ$95))</f>
        <v/>
      </c>
      <c r="G27" s="173" t="str">
        <f>IF($B27&gt;Inputs!$G$19,"",LOOKUP($B27,'Cash Flow'!$F$2:$AJ$2,'Cash Flow'!$F$57:$AJ$57)+LOOKUP($B27,'Cash Flow'!$F$2:$AJ$2,'Cash Flow'!$F$58:$AJ$58))</f>
        <v/>
      </c>
      <c r="H27" s="173" t="str">
        <f>IF($B27&gt;Inputs!$G$19,"",SUM(D27:G27))</f>
        <v/>
      </c>
      <c r="I27" s="173" t="str">
        <f>IF($B27&gt;Inputs!$G$19,"",LOOKUP($B27,'Cash Flow'!$F$2:$AJ$2,'Cash Flow'!$F$70:$AJ$70))</f>
        <v/>
      </c>
      <c r="J27" s="173" t="str">
        <f>IF($B27&gt;Inputs!$G$19,"",LOOKUP($B27,'Cash Flow'!$F$2:$AJ$2,'Cash Flow'!$F$71:$AJ$71))</f>
        <v/>
      </c>
      <c r="K27" s="173" t="str">
        <f>IF($B27&gt;Inputs!$G$19,"",LOOKUP($B27,'Cash Flow'!$F$2:$AJ$2,'Cash Flow'!$F$73:$AJ$73)+LOOKUP($B27,'Cash Flow'!$F$2:$AJ$2,'Cash Flow'!$F$75:$AJ$75))</f>
        <v/>
      </c>
      <c r="L27" s="173" t="str">
        <f>IF($B27&gt;Inputs!$G$19,"",LOOKUP($B27,'Cash Flow'!$F$2:$AJ$2,'Cash Flow'!$F$74:$AJ$74)+LOOKUP($B27,'Cash Flow'!$F$2:$AJ$2,'Cash Flow'!$F$76:$AJ$76))</f>
        <v/>
      </c>
      <c r="M27" s="173" t="str">
        <f>IF($B27&gt;Inputs!$G$19,"",H27+K27+L27)</f>
        <v/>
      </c>
      <c r="N27" s="173">
        <f>IF($B27&gt;Inputs!$G$19,N26,N26+M27)</f>
        <v>7128874.030202507</v>
      </c>
      <c r="O27" s="177" t="str">
        <f>IF($B27&gt;Inputs!$G$19,"",LOOKUP($B27,'Cash Flow'!$F$2:$AJ$2,'Cash Flow'!$F$78:$AJ$78))</f>
        <v/>
      </c>
      <c r="P27" s="178" t="str">
        <f>IF($B27&gt;Inputs!$G$19,"",LOOKUP($B27,'Cash Flow'!$F$2:$AJ$2,'Cash Flow'!$F$51:$AJ$51))</f>
        <v/>
      </c>
      <c r="R27" s="392" t="str">
        <f>IF($B27&gt;Inputs!$G$19,"",D27+K27+L27)</f>
        <v/>
      </c>
      <c r="S27" s="393" t="str">
        <f>IF($B27&gt;Inputs!$G$19,"",-(E27+F27+G27))</f>
        <v/>
      </c>
    </row>
    <row r="28" spans="2:19" ht="15">
      <c r="B28" s="175">
        <v>22</v>
      </c>
      <c r="C28" s="176" t="str">
        <f>IF($B28&gt;Inputs!$G$19,"",IF($B28&lt;=Inputs!$Q$13,LOOKUP($B28,'Cash Flow'!$F$2:$AJ$2,'Cash Flow'!$F$21:$AJ$21),LOOKUP($B28,'Cash Flow'!$F$2:$AJ$2,'Cash Flow'!$F$23:$AJ$23)))</f>
        <v/>
      </c>
      <c r="D28" s="173" t="str">
        <f>IF($B28&gt;Inputs!$G$19,"",LOOKUP($B28,'Cash Flow'!$F$2:$AJ$2,'Cash Flow'!$F$31:$AJ$31))</f>
        <v/>
      </c>
      <c r="E28" s="173" t="str">
        <f>IF($B28&gt;Inputs!$G$19,"",LOOKUP($B28,'Cash Flow'!$F$2:$AJ$2,'Cash Flow'!$F$45:$AJ$45))</f>
        <v/>
      </c>
      <c r="F28" s="173" t="str">
        <f>IF($B28&gt;Inputs!$G$19,"",LOOKUP($B28,'Cash Flow'!$F$2:$AJ$2,'Cash Flow'!$F$95:$AJ$95))</f>
        <v/>
      </c>
      <c r="G28" s="173" t="str">
        <f>IF($B28&gt;Inputs!$G$19,"",LOOKUP($B28,'Cash Flow'!$F$2:$AJ$2,'Cash Flow'!$F$57:$AJ$57)+LOOKUP($B28,'Cash Flow'!$F$2:$AJ$2,'Cash Flow'!$F$58:$AJ$58))</f>
        <v/>
      </c>
      <c r="H28" s="173" t="str">
        <f>IF($B28&gt;Inputs!$G$19,"",SUM(D28:G28))</f>
        <v/>
      </c>
      <c r="I28" s="173" t="str">
        <f>IF($B28&gt;Inputs!$G$19,"",LOOKUP($B28,'Cash Flow'!$F$2:$AJ$2,'Cash Flow'!$F$70:$AJ$70))</f>
        <v/>
      </c>
      <c r="J28" s="173" t="str">
        <f>IF($B28&gt;Inputs!$G$19,"",LOOKUP($B28,'Cash Flow'!$F$2:$AJ$2,'Cash Flow'!$F$71:$AJ$71))</f>
        <v/>
      </c>
      <c r="K28" s="173" t="str">
        <f>IF($B28&gt;Inputs!$G$19,"",LOOKUP($B28,'Cash Flow'!$F$2:$AJ$2,'Cash Flow'!$F$73:$AJ$73)+LOOKUP($B28,'Cash Flow'!$F$2:$AJ$2,'Cash Flow'!$F$75:$AJ$75))</f>
        <v/>
      </c>
      <c r="L28" s="173" t="str">
        <f>IF($B28&gt;Inputs!$G$19,"",LOOKUP($B28,'Cash Flow'!$F$2:$AJ$2,'Cash Flow'!$F$74:$AJ$74)+LOOKUP($B28,'Cash Flow'!$F$2:$AJ$2,'Cash Flow'!$F$76:$AJ$76))</f>
        <v/>
      </c>
      <c r="M28" s="173" t="str">
        <f>IF($B28&gt;Inputs!$G$19,"",H28+K28+L28)</f>
        <v/>
      </c>
      <c r="N28" s="173">
        <f>IF($B28&gt;Inputs!$G$19,N27,N27+M28)</f>
        <v>7128874.030202507</v>
      </c>
      <c r="O28" s="177" t="str">
        <f>IF($B28&gt;Inputs!$G$19,"",LOOKUP($B28,'Cash Flow'!$F$2:$AJ$2,'Cash Flow'!$F$78:$AJ$78))</f>
        <v/>
      </c>
      <c r="P28" s="178" t="str">
        <f>IF($B28&gt;Inputs!$G$19,"",LOOKUP($B28,'Cash Flow'!$F$2:$AJ$2,'Cash Flow'!$F$51:$AJ$51))</f>
        <v/>
      </c>
      <c r="R28" s="392" t="str">
        <f>IF($B28&gt;Inputs!$G$19,"",D28+K28+L28)</f>
        <v/>
      </c>
      <c r="S28" s="393" t="str">
        <f>IF($B28&gt;Inputs!$G$19,"",-(E28+F28+G28))</f>
        <v/>
      </c>
    </row>
    <row r="29" spans="2:19" ht="15">
      <c r="B29" s="181">
        <v>23</v>
      </c>
      <c r="C29" s="176" t="str">
        <f>IF($B29&gt;Inputs!$G$19,"",IF($B29&lt;=Inputs!$Q$13,LOOKUP($B29,'Cash Flow'!$F$2:$AJ$2,'Cash Flow'!$F$21:$AJ$21),LOOKUP($B29,'Cash Flow'!$F$2:$AJ$2,'Cash Flow'!$F$23:$AJ$23)))</f>
        <v/>
      </c>
      <c r="D29" s="173" t="str">
        <f>IF($B29&gt;Inputs!$G$19,"",LOOKUP($B29,'Cash Flow'!$F$2:$AJ$2,'Cash Flow'!$F$31:$AJ$31))</f>
        <v/>
      </c>
      <c r="E29" s="173" t="str">
        <f>IF($B29&gt;Inputs!$G$19,"",LOOKUP($B29,'Cash Flow'!$F$2:$AJ$2,'Cash Flow'!$F$45:$AJ$45))</f>
        <v/>
      </c>
      <c r="F29" s="173" t="str">
        <f>IF($B29&gt;Inputs!$G$19,"",LOOKUP($B29,'Cash Flow'!$F$2:$AJ$2,'Cash Flow'!$F$95:$AJ$95))</f>
        <v/>
      </c>
      <c r="G29" s="173" t="str">
        <f>IF($B29&gt;Inputs!$G$19,"",LOOKUP($B29,'Cash Flow'!$F$2:$AJ$2,'Cash Flow'!$F$57:$AJ$57)+LOOKUP($B29,'Cash Flow'!$F$2:$AJ$2,'Cash Flow'!$F$58:$AJ$58))</f>
        <v/>
      </c>
      <c r="H29" s="173" t="str">
        <f>IF($B29&gt;Inputs!$G$19,"",SUM(D29:G29))</f>
        <v/>
      </c>
      <c r="I29" s="173" t="str">
        <f>IF($B29&gt;Inputs!$G$19,"",LOOKUP($B29,'Cash Flow'!$F$2:$AJ$2,'Cash Flow'!$F$70:$AJ$70))</f>
        <v/>
      </c>
      <c r="J29" s="173" t="str">
        <f>IF($B29&gt;Inputs!$G$19,"",LOOKUP($B29,'Cash Flow'!$F$2:$AJ$2,'Cash Flow'!$F$71:$AJ$71))</f>
        <v/>
      </c>
      <c r="K29" s="173" t="str">
        <f>IF($B29&gt;Inputs!$G$19,"",LOOKUP($B29,'Cash Flow'!$F$2:$AJ$2,'Cash Flow'!$F$73:$AJ$73)+LOOKUP($B29,'Cash Flow'!$F$2:$AJ$2,'Cash Flow'!$F$75:$AJ$75))</f>
        <v/>
      </c>
      <c r="L29" s="173" t="str">
        <f>IF($B29&gt;Inputs!$G$19,"",LOOKUP($B29,'Cash Flow'!$F$2:$AJ$2,'Cash Flow'!$F$74:$AJ$74)+LOOKUP($B29,'Cash Flow'!$F$2:$AJ$2,'Cash Flow'!$F$76:$AJ$76))</f>
        <v/>
      </c>
      <c r="M29" s="173" t="str">
        <f>IF($B29&gt;Inputs!$G$19,"",H29+K29+L29)</f>
        <v/>
      </c>
      <c r="N29" s="173">
        <f>IF($B29&gt;Inputs!$G$19,N28,N28+M29)</f>
        <v>7128874.030202507</v>
      </c>
      <c r="O29" s="177" t="str">
        <f>IF($B29&gt;Inputs!$G$19,"",LOOKUP($B29,'Cash Flow'!$F$2:$AJ$2,'Cash Flow'!$F$78:$AJ$78))</f>
        <v/>
      </c>
      <c r="P29" s="178" t="str">
        <f>IF($B29&gt;Inputs!$G$19,"",LOOKUP($B29,'Cash Flow'!$F$2:$AJ$2,'Cash Flow'!$F$51:$AJ$51))</f>
        <v/>
      </c>
      <c r="R29" s="392" t="str">
        <f>IF($B29&gt;Inputs!$G$19,"",D29+K29+L29)</f>
        <v/>
      </c>
      <c r="S29" s="393" t="str">
        <f>IF($B29&gt;Inputs!$G$19,"",-(E29+F29+G29))</f>
        <v/>
      </c>
    </row>
    <row r="30" spans="2:19" ht="15">
      <c r="B30" s="175">
        <v>24</v>
      </c>
      <c r="C30" s="176" t="str">
        <f>IF($B30&gt;Inputs!$G$19,"",IF($B30&lt;=Inputs!$Q$13,LOOKUP($B30,'Cash Flow'!$F$2:$AJ$2,'Cash Flow'!$F$21:$AJ$21),LOOKUP($B30,'Cash Flow'!$F$2:$AJ$2,'Cash Flow'!$F$23:$AJ$23)))</f>
        <v/>
      </c>
      <c r="D30" s="173" t="str">
        <f>IF($B30&gt;Inputs!$G$19,"",LOOKUP($B30,'Cash Flow'!$F$2:$AJ$2,'Cash Flow'!$F$31:$AJ$31))</f>
        <v/>
      </c>
      <c r="E30" s="173" t="str">
        <f>IF($B30&gt;Inputs!$G$19,"",LOOKUP($B30,'Cash Flow'!$F$2:$AJ$2,'Cash Flow'!$F$45:$AJ$45))</f>
        <v/>
      </c>
      <c r="F30" s="173" t="str">
        <f>IF($B30&gt;Inputs!$G$19,"",LOOKUP($B30,'Cash Flow'!$F$2:$AJ$2,'Cash Flow'!$F$95:$AJ$95))</f>
        <v/>
      </c>
      <c r="G30" s="173" t="str">
        <f>IF($B30&gt;Inputs!$G$19,"",LOOKUP($B30,'Cash Flow'!$F$2:$AJ$2,'Cash Flow'!$F$57:$AJ$57)+LOOKUP($B30,'Cash Flow'!$F$2:$AJ$2,'Cash Flow'!$F$58:$AJ$58))</f>
        <v/>
      </c>
      <c r="H30" s="173" t="str">
        <f>IF($B30&gt;Inputs!$G$19,"",SUM(D30:G30))</f>
        <v/>
      </c>
      <c r="I30" s="173" t="str">
        <f>IF($B30&gt;Inputs!$G$19,"",LOOKUP($B30,'Cash Flow'!$F$2:$AJ$2,'Cash Flow'!$F$70:$AJ$70))</f>
        <v/>
      </c>
      <c r="J30" s="173" t="str">
        <f>IF($B30&gt;Inputs!$G$19,"",LOOKUP($B30,'Cash Flow'!$F$2:$AJ$2,'Cash Flow'!$F$71:$AJ$71))</f>
        <v/>
      </c>
      <c r="K30" s="173" t="str">
        <f>IF($B30&gt;Inputs!$G$19,"",LOOKUP($B30,'Cash Flow'!$F$2:$AJ$2,'Cash Flow'!$F$73:$AJ$73)+LOOKUP($B30,'Cash Flow'!$F$2:$AJ$2,'Cash Flow'!$F$75:$AJ$75))</f>
        <v/>
      </c>
      <c r="L30" s="173" t="str">
        <f>IF($B30&gt;Inputs!$G$19,"",LOOKUP($B30,'Cash Flow'!$F$2:$AJ$2,'Cash Flow'!$F$74:$AJ$74)+LOOKUP($B30,'Cash Flow'!$F$2:$AJ$2,'Cash Flow'!$F$76:$AJ$76))</f>
        <v/>
      </c>
      <c r="M30" s="173" t="str">
        <f>IF($B30&gt;Inputs!$G$19,"",H30+K30+L30)</f>
        <v/>
      </c>
      <c r="N30" s="173">
        <f>IF($B30&gt;Inputs!$G$19,N29,N29+M30)</f>
        <v>7128874.030202507</v>
      </c>
      <c r="O30" s="177" t="str">
        <f>IF($B30&gt;Inputs!$G$19,"",LOOKUP($B30,'Cash Flow'!$F$2:$AJ$2,'Cash Flow'!$F$78:$AJ$78))</f>
        <v/>
      </c>
      <c r="P30" s="178" t="str">
        <f>IF($B30&gt;Inputs!$G$19,"",LOOKUP($B30,'Cash Flow'!$F$2:$AJ$2,'Cash Flow'!$F$51:$AJ$51))</f>
        <v/>
      </c>
      <c r="R30" s="392" t="str">
        <f>IF($B30&gt;Inputs!$G$19,"",D30+K30+L30)</f>
        <v/>
      </c>
      <c r="S30" s="393" t="str">
        <f>IF($B30&gt;Inputs!$G$19,"",-(E30+F30+G30))</f>
        <v/>
      </c>
    </row>
    <row r="31" spans="2:19" ht="15">
      <c r="B31" s="175">
        <v>25</v>
      </c>
      <c r="C31" s="176" t="str">
        <f>IF($B31&gt;Inputs!$G$19,"",IF($B31&lt;=Inputs!$Q$13,LOOKUP($B31,'Cash Flow'!$F$2:$AJ$2,'Cash Flow'!$F$21:$AJ$21),LOOKUP($B31,'Cash Flow'!$F$2:$AJ$2,'Cash Flow'!$F$23:$AJ$23)))</f>
        <v/>
      </c>
      <c r="D31" s="173" t="str">
        <f>IF($B31&gt;Inputs!$G$19,"",LOOKUP($B31,'Cash Flow'!$F$2:$AJ$2,'Cash Flow'!$F$31:$AJ$31))</f>
        <v/>
      </c>
      <c r="E31" s="173" t="str">
        <f>IF($B31&gt;Inputs!$G$19,"",LOOKUP($B31,'Cash Flow'!$F$2:$AJ$2,'Cash Flow'!$F$45:$AJ$45))</f>
        <v/>
      </c>
      <c r="F31" s="173" t="str">
        <f>IF($B31&gt;Inputs!$G$19,"",LOOKUP($B31,'Cash Flow'!$F$2:$AJ$2,'Cash Flow'!$F$95:$AJ$95))</f>
        <v/>
      </c>
      <c r="G31" s="173" t="str">
        <f>IF($B31&gt;Inputs!$G$19,"",LOOKUP($B31,'Cash Flow'!$F$2:$AJ$2,'Cash Flow'!$F$57:$AJ$57)+LOOKUP($B31,'Cash Flow'!$F$2:$AJ$2,'Cash Flow'!$F$58:$AJ$58))</f>
        <v/>
      </c>
      <c r="H31" s="173" t="str">
        <f>IF($B31&gt;Inputs!$G$19,"",SUM(D31:G31))</f>
        <v/>
      </c>
      <c r="I31" s="173" t="str">
        <f>IF($B31&gt;Inputs!$G$19,"",LOOKUP($B31,'Cash Flow'!$F$2:$AJ$2,'Cash Flow'!$F$70:$AJ$70))</f>
        <v/>
      </c>
      <c r="J31" s="173" t="str">
        <f>IF($B31&gt;Inputs!$G$19,"",LOOKUP($B31,'Cash Flow'!$F$2:$AJ$2,'Cash Flow'!$F$71:$AJ$71))</f>
        <v/>
      </c>
      <c r="K31" s="173" t="str">
        <f>IF($B31&gt;Inputs!$G$19,"",LOOKUP($B31,'Cash Flow'!$F$2:$AJ$2,'Cash Flow'!$F$73:$AJ$73)+LOOKUP($B31,'Cash Flow'!$F$2:$AJ$2,'Cash Flow'!$F$75:$AJ$75))</f>
        <v/>
      </c>
      <c r="L31" s="173" t="str">
        <f>IF($B31&gt;Inputs!$G$19,"",LOOKUP($B31,'Cash Flow'!$F$2:$AJ$2,'Cash Flow'!$F$74:$AJ$74)+LOOKUP($B31,'Cash Flow'!$F$2:$AJ$2,'Cash Flow'!$F$76:$AJ$76))</f>
        <v/>
      </c>
      <c r="M31" s="173" t="str">
        <f>IF($B31&gt;Inputs!$G$19,"",H31+K31+L31)</f>
        <v/>
      </c>
      <c r="N31" s="173">
        <f>IF($B31&gt;Inputs!$G$19,N30,N30+M31)</f>
        <v>7128874.030202507</v>
      </c>
      <c r="O31" s="177" t="str">
        <f>IF($B31&gt;Inputs!$G$19,"",LOOKUP($B31,'Cash Flow'!$F$2:$AJ$2,'Cash Flow'!$F$78:$AJ$78))</f>
        <v/>
      </c>
      <c r="P31" s="178" t="str">
        <f>IF($B31&gt;Inputs!$G$19,"",LOOKUP($B31,'Cash Flow'!$F$2:$AJ$2,'Cash Flow'!$F$51:$AJ$51))</f>
        <v/>
      </c>
      <c r="R31" s="392" t="str">
        <f>IF($B31&gt;Inputs!$G$19,"",D31+K31+L31)</f>
        <v/>
      </c>
      <c r="S31" s="393" t="str">
        <f>IF($B31&gt;Inputs!$G$19,"",-(E31+F31+G31))</f>
        <v/>
      </c>
    </row>
    <row r="32" spans="2:19" ht="15">
      <c r="B32" s="181">
        <v>26</v>
      </c>
      <c r="C32" s="176" t="str">
        <f>IF($B32&gt;Inputs!$G$19,"",IF($B32&lt;=Inputs!$Q$13,LOOKUP($B32,'Cash Flow'!$F$2:$AJ$2,'Cash Flow'!$F$21:$AJ$21),LOOKUP($B32,'Cash Flow'!$F$2:$AJ$2,'Cash Flow'!$F$23:$AJ$23)))</f>
        <v/>
      </c>
      <c r="D32" s="173" t="str">
        <f>IF($B32&gt;Inputs!$G$19,"",LOOKUP($B32,'Cash Flow'!$F$2:$AJ$2,'Cash Flow'!$F$31:$AJ$31))</f>
        <v/>
      </c>
      <c r="E32" s="173" t="str">
        <f>IF($B32&gt;Inputs!$G$19,"",LOOKUP($B32,'Cash Flow'!$F$2:$AJ$2,'Cash Flow'!$F$45:$AJ$45))</f>
        <v/>
      </c>
      <c r="F32" s="173" t="str">
        <f>IF($B32&gt;Inputs!$G$19,"",LOOKUP($B32,'Cash Flow'!$F$2:$AJ$2,'Cash Flow'!$F$95:$AJ$95))</f>
        <v/>
      </c>
      <c r="G32" s="173" t="str">
        <f>IF($B32&gt;Inputs!$G$19,"",LOOKUP($B32,'Cash Flow'!$F$2:$AJ$2,'Cash Flow'!$F$57:$AJ$57)+LOOKUP($B32,'Cash Flow'!$F$2:$AJ$2,'Cash Flow'!$F$58:$AJ$58))</f>
        <v/>
      </c>
      <c r="H32" s="173" t="str">
        <f>IF($B32&gt;Inputs!$G$19,"",SUM(D32:G32))</f>
        <v/>
      </c>
      <c r="I32" s="173" t="str">
        <f>IF($B32&gt;Inputs!$G$19,"",LOOKUP($B32,'Cash Flow'!$F$2:$AJ$2,'Cash Flow'!$F$70:$AJ$70))</f>
        <v/>
      </c>
      <c r="J32" s="173" t="str">
        <f>IF($B32&gt;Inputs!$G$19,"",LOOKUP($B32,'Cash Flow'!$F$2:$AJ$2,'Cash Flow'!$F$71:$AJ$71))</f>
        <v/>
      </c>
      <c r="K32" s="173" t="str">
        <f>IF($B32&gt;Inputs!$G$19,"",LOOKUP($B32,'Cash Flow'!$F$2:$AJ$2,'Cash Flow'!$F$73:$AJ$73)+LOOKUP($B32,'Cash Flow'!$F$2:$AJ$2,'Cash Flow'!$F$75:$AJ$75))</f>
        <v/>
      </c>
      <c r="L32" s="173" t="str">
        <f>IF($B32&gt;Inputs!$G$19,"",LOOKUP($B32,'Cash Flow'!$F$2:$AJ$2,'Cash Flow'!$F$74:$AJ$74)+LOOKUP($B32,'Cash Flow'!$F$2:$AJ$2,'Cash Flow'!$F$76:$AJ$76))</f>
        <v/>
      </c>
      <c r="M32" s="173" t="str">
        <f>IF($B32&gt;Inputs!$G$19,"",H32+K32+L32)</f>
        <v/>
      </c>
      <c r="N32" s="173">
        <f>IF($B32&gt;Inputs!$G$19,N31,N31+M32)</f>
        <v>7128874.030202507</v>
      </c>
      <c r="O32" s="177" t="str">
        <f>IF($B32&gt;Inputs!$G$19,"",LOOKUP($B32,'Cash Flow'!$F$2:$AJ$2,'Cash Flow'!$F$78:$AJ$78))</f>
        <v/>
      </c>
      <c r="P32" s="178" t="str">
        <f>IF($B32&gt;Inputs!$G$19,"",LOOKUP($B32,'Cash Flow'!$F$2:$AJ$2,'Cash Flow'!$F$51:$AJ$51))</f>
        <v/>
      </c>
      <c r="R32" s="392" t="str">
        <f>IF($B32&gt;Inputs!$G$19,"",D32+K32+L32)</f>
        <v/>
      </c>
      <c r="S32" s="393" t="str">
        <f>IF($B32&gt;Inputs!$G$19,"",-(E32+F32+G32))</f>
        <v/>
      </c>
    </row>
    <row r="33" spans="2:19" ht="15">
      <c r="B33" s="175">
        <v>27</v>
      </c>
      <c r="C33" s="176" t="str">
        <f>IF($B33&gt;Inputs!$G$19,"",IF($B33&lt;=Inputs!$Q$13,LOOKUP($B33,'Cash Flow'!$F$2:$AJ$2,'Cash Flow'!$F$21:$AJ$21),LOOKUP($B33,'Cash Flow'!$F$2:$AJ$2,'Cash Flow'!$F$23:$AJ$23)))</f>
        <v/>
      </c>
      <c r="D33" s="173" t="str">
        <f>IF($B33&gt;Inputs!$G$19,"",LOOKUP($B33,'Cash Flow'!$F$2:$AJ$2,'Cash Flow'!$F$31:$AJ$31))</f>
        <v/>
      </c>
      <c r="E33" s="173" t="str">
        <f>IF($B33&gt;Inputs!$G$19,"",LOOKUP($B33,'Cash Flow'!$F$2:$AJ$2,'Cash Flow'!$F$45:$AJ$45))</f>
        <v/>
      </c>
      <c r="F33" s="173" t="str">
        <f>IF($B33&gt;Inputs!$G$19,"",LOOKUP($B33,'Cash Flow'!$F$2:$AJ$2,'Cash Flow'!$F$95:$AJ$95))</f>
        <v/>
      </c>
      <c r="G33" s="173" t="str">
        <f>IF($B33&gt;Inputs!$G$19,"",LOOKUP($B33,'Cash Flow'!$F$2:$AJ$2,'Cash Flow'!$F$57:$AJ$57)+LOOKUP($B33,'Cash Flow'!$F$2:$AJ$2,'Cash Flow'!$F$58:$AJ$58))</f>
        <v/>
      </c>
      <c r="H33" s="173" t="str">
        <f>IF($B33&gt;Inputs!$G$19,"",SUM(D33:G33))</f>
        <v/>
      </c>
      <c r="I33" s="173" t="str">
        <f>IF($B33&gt;Inputs!$G$19,"",LOOKUP($B33,'Cash Flow'!$F$2:$AJ$2,'Cash Flow'!$F$70:$AJ$70))</f>
        <v/>
      </c>
      <c r="J33" s="173" t="str">
        <f>IF($B33&gt;Inputs!$G$19,"",LOOKUP($B33,'Cash Flow'!$F$2:$AJ$2,'Cash Flow'!$F$71:$AJ$71))</f>
        <v/>
      </c>
      <c r="K33" s="173" t="str">
        <f>IF($B33&gt;Inputs!$G$19,"",LOOKUP($B33,'Cash Flow'!$F$2:$AJ$2,'Cash Flow'!$F$73:$AJ$73)+LOOKUP($B33,'Cash Flow'!$F$2:$AJ$2,'Cash Flow'!$F$75:$AJ$75))</f>
        <v/>
      </c>
      <c r="L33" s="173" t="str">
        <f>IF($B33&gt;Inputs!$G$19,"",LOOKUP($B33,'Cash Flow'!$F$2:$AJ$2,'Cash Flow'!$F$74:$AJ$74)+LOOKUP($B33,'Cash Flow'!$F$2:$AJ$2,'Cash Flow'!$F$76:$AJ$76))</f>
        <v/>
      </c>
      <c r="M33" s="173" t="str">
        <f>IF($B33&gt;Inputs!$G$19,"",H33+K33+L33)</f>
        <v/>
      </c>
      <c r="N33" s="173">
        <f>IF($B33&gt;Inputs!$G$19,N32,N32+M33)</f>
        <v>7128874.030202507</v>
      </c>
      <c r="O33" s="177" t="str">
        <f>IF($B33&gt;Inputs!$G$19,"",LOOKUP($B33,'Cash Flow'!$F$2:$AJ$2,'Cash Flow'!$F$78:$AJ$78))</f>
        <v/>
      </c>
      <c r="P33" s="178" t="str">
        <f>IF($B33&gt;Inputs!$G$19,"",LOOKUP($B33,'Cash Flow'!$F$2:$AJ$2,'Cash Flow'!$F$51:$AJ$51))</f>
        <v/>
      </c>
      <c r="R33" s="392" t="str">
        <f>IF($B33&gt;Inputs!$G$19,"",D33+K33+L33)</f>
        <v/>
      </c>
      <c r="S33" s="393" t="str">
        <f>IF($B33&gt;Inputs!$G$19,"",-(E33+F33+G33))</f>
        <v/>
      </c>
    </row>
    <row r="34" spans="2:19" ht="15">
      <c r="B34" s="175">
        <v>28</v>
      </c>
      <c r="C34" s="176" t="str">
        <f>IF($B34&gt;Inputs!$G$19,"",IF($B34&lt;=Inputs!$Q$13,LOOKUP($B34,'Cash Flow'!$F$2:$AJ$2,'Cash Flow'!$F$21:$AJ$21),LOOKUP($B34,'Cash Flow'!$F$2:$AJ$2,'Cash Flow'!$F$23:$AJ$23)))</f>
        <v/>
      </c>
      <c r="D34" s="173" t="str">
        <f>IF($B34&gt;Inputs!$G$19,"",LOOKUP($B34,'Cash Flow'!$F$2:$AJ$2,'Cash Flow'!$F$31:$AJ$31))</f>
        <v/>
      </c>
      <c r="E34" s="173" t="str">
        <f>IF($B34&gt;Inputs!$G$19,"",LOOKUP($B34,'Cash Flow'!$F$2:$AJ$2,'Cash Flow'!$F$45:$AJ$45))</f>
        <v/>
      </c>
      <c r="F34" s="173" t="str">
        <f>IF($B34&gt;Inputs!$G$19,"",LOOKUP($B34,'Cash Flow'!$F$2:$AJ$2,'Cash Flow'!$F$95:$AJ$95))</f>
        <v/>
      </c>
      <c r="G34" s="173" t="str">
        <f>IF($B34&gt;Inputs!$G$19,"",LOOKUP($B34,'Cash Flow'!$F$2:$AJ$2,'Cash Flow'!$F$57:$AJ$57)+LOOKUP($B34,'Cash Flow'!$F$2:$AJ$2,'Cash Flow'!$F$58:$AJ$58))</f>
        <v/>
      </c>
      <c r="H34" s="173" t="str">
        <f>IF($B34&gt;Inputs!$G$19,"",SUM(D34:G34))</f>
        <v/>
      </c>
      <c r="I34" s="173" t="str">
        <f>IF($B34&gt;Inputs!$G$19,"",LOOKUP($B34,'Cash Flow'!$F$2:$AJ$2,'Cash Flow'!$F$70:$AJ$70))</f>
        <v/>
      </c>
      <c r="J34" s="173" t="str">
        <f>IF($B34&gt;Inputs!$G$19,"",LOOKUP($B34,'Cash Flow'!$F$2:$AJ$2,'Cash Flow'!$F$71:$AJ$71))</f>
        <v/>
      </c>
      <c r="K34" s="173" t="str">
        <f>IF($B34&gt;Inputs!$G$19,"",LOOKUP($B34,'Cash Flow'!$F$2:$AJ$2,'Cash Flow'!$F$73:$AJ$73)+LOOKUP($B34,'Cash Flow'!$F$2:$AJ$2,'Cash Flow'!$F$75:$AJ$75))</f>
        <v/>
      </c>
      <c r="L34" s="173" t="str">
        <f>IF($B34&gt;Inputs!$G$19,"",LOOKUP($B34,'Cash Flow'!$F$2:$AJ$2,'Cash Flow'!$F$74:$AJ$74)+LOOKUP($B34,'Cash Flow'!$F$2:$AJ$2,'Cash Flow'!$F$76:$AJ$76))</f>
        <v/>
      </c>
      <c r="M34" s="173" t="str">
        <f>IF($B34&gt;Inputs!$G$19,"",H34+K34+L34)</f>
        <v/>
      </c>
      <c r="N34" s="173">
        <f>IF($B34&gt;Inputs!$G$19,N33,N33+M34)</f>
        <v>7128874.030202507</v>
      </c>
      <c r="O34" s="177" t="str">
        <f>IF($B34&gt;Inputs!$G$19,"",LOOKUP($B34,'Cash Flow'!$F$2:$AJ$2,'Cash Flow'!$F$78:$AJ$78))</f>
        <v/>
      </c>
      <c r="P34" s="178" t="str">
        <f>IF($B34&gt;Inputs!$G$19,"",LOOKUP($B34,'Cash Flow'!$F$2:$AJ$2,'Cash Flow'!$F$51:$AJ$51))</f>
        <v/>
      </c>
      <c r="R34" s="392" t="str">
        <f>IF($B34&gt;Inputs!$G$19,"",D34+K34+L34)</f>
        <v/>
      </c>
      <c r="S34" s="393" t="str">
        <f>IF($B34&gt;Inputs!$G$19,"",-(E34+F34+G34))</f>
        <v/>
      </c>
    </row>
    <row r="35" spans="2:19" ht="15">
      <c r="B35" s="181">
        <v>29</v>
      </c>
      <c r="C35" s="176" t="str">
        <f>IF($B35&gt;Inputs!$G$19,"",IF($B35&lt;=Inputs!$Q$13,LOOKUP($B35,'Cash Flow'!$F$2:$AJ$2,'Cash Flow'!$F$21:$AJ$21),LOOKUP($B35,'Cash Flow'!$F$2:$AJ$2,'Cash Flow'!$F$23:$AJ$23)))</f>
        <v/>
      </c>
      <c r="D35" s="173" t="str">
        <f>IF($B35&gt;Inputs!$G$19,"",LOOKUP($B35,'Cash Flow'!$F$2:$AJ$2,'Cash Flow'!$F$31:$AJ$31))</f>
        <v/>
      </c>
      <c r="E35" s="173" t="str">
        <f>IF($B35&gt;Inputs!$G$19,"",LOOKUP($B35,'Cash Flow'!$F$2:$AJ$2,'Cash Flow'!$F$45:$AJ$45))</f>
        <v/>
      </c>
      <c r="F35" s="173" t="str">
        <f>IF($B35&gt;Inputs!$G$19,"",LOOKUP($B35,'Cash Flow'!$F$2:$AJ$2,'Cash Flow'!$F$95:$AJ$95))</f>
        <v/>
      </c>
      <c r="G35" s="173" t="str">
        <f>IF($B35&gt;Inputs!$G$19,"",LOOKUP($B35,'Cash Flow'!$F$2:$AJ$2,'Cash Flow'!$F$57:$AJ$57)+LOOKUP($B35,'Cash Flow'!$F$2:$AJ$2,'Cash Flow'!$F$58:$AJ$58))</f>
        <v/>
      </c>
      <c r="H35" s="173" t="str">
        <f>IF($B35&gt;Inputs!$G$19,"",SUM(D35:G35))</f>
        <v/>
      </c>
      <c r="I35" s="173" t="str">
        <f>IF($B35&gt;Inputs!$G$19,"",LOOKUP($B35,'Cash Flow'!$F$2:$AJ$2,'Cash Flow'!$F$70:$AJ$70))</f>
        <v/>
      </c>
      <c r="J35" s="173" t="str">
        <f>IF($B35&gt;Inputs!$G$19,"",LOOKUP($B35,'Cash Flow'!$F$2:$AJ$2,'Cash Flow'!$F$71:$AJ$71))</f>
        <v/>
      </c>
      <c r="K35" s="173" t="str">
        <f>IF($B35&gt;Inputs!$G$19,"",LOOKUP($B35,'Cash Flow'!$F$2:$AJ$2,'Cash Flow'!$F$73:$AJ$73)+LOOKUP($B35,'Cash Flow'!$F$2:$AJ$2,'Cash Flow'!$F$75:$AJ$75))</f>
        <v/>
      </c>
      <c r="L35" s="173" t="str">
        <f>IF($B35&gt;Inputs!$G$19,"",LOOKUP($B35,'Cash Flow'!$F$2:$AJ$2,'Cash Flow'!$F$74:$AJ$74)+LOOKUP($B35,'Cash Flow'!$F$2:$AJ$2,'Cash Flow'!$F$76:$AJ$76))</f>
        <v/>
      </c>
      <c r="M35" s="173" t="str">
        <f>IF($B35&gt;Inputs!$G$19,"",H35+K35+L35)</f>
        <v/>
      </c>
      <c r="N35" s="173">
        <f>IF($B35&gt;Inputs!$G$19,N34,N34+M35)</f>
        <v>7128874.030202507</v>
      </c>
      <c r="O35" s="177" t="str">
        <f>IF($B35&gt;Inputs!$G$19,"",LOOKUP($B35,'Cash Flow'!$F$2:$AJ$2,'Cash Flow'!$F$78:$AJ$78))</f>
        <v/>
      </c>
      <c r="P35" s="178" t="str">
        <f>IF($B35&gt;Inputs!$G$19,"",LOOKUP($B35,'Cash Flow'!$F$2:$AJ$2,'Cash Flow'!$F$51:$AJ$51))</f>
        <v/>
      </c>
      <c r="R35" s="392" t="str">
        <f>IF($B35&gt;Inputs!$G$19,"",D35+K35+L35)</f>
        <v/>
      </c>
      <c r="S35" s="393" t="str">
        <f>IF($B35&gt;Inputs!$G$19,"",-(E35+F35+G35))</f>
        <v/>
      </c>
    </row>
    <row r="36" spans="2:19" ht="15">
      <c r="B36" s="175">
        <v>30</v>
      </c>
      <c r="C36" s="176" t="str">
        <f>IF($B36&gt;Inputs!$G$19,"",IF($B36&lt;=Inputs!$Q$13,LOOKUP($B36,'Cash Flow'!$F$2:$AJ$2,'Cash Flow'!$F$21:$AJ$21),LOOKUP($B36,'Cash Flow'!$F$2:$AJ$2,'Cash Flow'!$F$23:$AJ$23)))</f>
        <v/>
      </c>
      <c r="D36" s="173" t="str">
        <f>IF($B36&gt;Inputs!$G$19,"",LOOKUP($B36,'Cash Flow'!$F$2:$AJ$2,'Cash Flow'!$F$31:$AJ$31))</f>
        <v/>
      </c>
      <c r="E36" s="173" t="str">
        <f>IF($B36&gt;Inputs!$G$19,"",LOOKUP($B36,'Cash Flow'!$F$2:$AJ$2,'Cash Flow'!$F$45:$AJ$45))</f>
        <v/>
      </c>
      <c r="F36" s="173" t="str">
        <f>IF($B36&gt;Inputs!$G$19,"",LOOKUP($B36,'Cash Flow'!$F$2:$AJ$2,'Cash Flow'!$F$95:$AJ$95))</f>
        <v/>
      </c>
      <c r="G36" s="173" t="str">
        <f>IF($B36&gt;Inputs!$G$19,"",LOOKUP($B36,'Cash Flow'!$F$2:$AJ$2,'Cash Flow'!$F$57:$AJ$57)+LOOKUP($B36,'Cash Flow'!$F$2:$AJ$2,'Cash Flow'!$F$58:$AJ$58))</f>
        <v/>
      </c>
      <c r="H36" s="173" t="str">
        <f>IF($B36&gt;Inputs!$G$19,"",SUM(D36:G36))</f>
        <v/>
      </c>
      <c r="I36" s="173" t="str">
        <f>IF($B36&gt;Inputs!$G$19,"",LOOKUP($B36,'Cash Flow'!$F$2:$AJ$2,'Cash Flow'!$F$70:$AJ$70))</f>
        <v/>
      </c>
      <c r="J36" s="173" t="str">
        <f>IF($B36&gt;Inputs!$G$19,"",LOOKUP($B36,'Cash Flow'!$F$2:$AJ$2,'Cash Flow'!$F$71:$AJ$71))</f>
        <v/>
      </c>
      <c r="K36" s="173" t="str">
        <f>IF($B36&gt;Inputs!$G$19,"",LOOKUP($B36,'Cash Flow'!$F$2:$AJ$2,'Cash Flow'!$F$73:$AJ$73)+LOOKUP($B36,'Cash Flow'!$F$2:$AJ$2,'Cash Flow'!$F$75:$AJ$75))</f>
        <v/>
      </c>
      <c r="L36" s="173" t="str">
        <f>IF($B36&gt;Inputs!$G$19,"",LOOKUP($B36,'Cash Flow'!$F$2:$AJ$2,'Cash Flow'!$F$74:$AJ$74)+LOOKUP($B36,'Cash Flow'!$F$2:$AJ$2,'Cash Flow'!$F$76:$AJ$76))</f>
        <v/>
      </c>
      <c r="M36" s="173" t="str">
        <f>IF($B36&gt;Inputs!$G$19,"",H36+K36+L36)</f>
        <v/>
      </c>
      <c r="N36" s="173">
        <f>IF($B36&gt;Inputs!$G$19,N35,N35+M36)</f>
        <v>7128874.030202507</v>
      </c>
      <c r="O36" s="177" t="str">
        <f>IF($B36&gt;Inputs!$G$19,"",LOOKUP($B36,'Cash Flow'!$F$2:$AJ$2,'Cash Flow'!$F$78:$AJ$78))</f>
        <v/>
      </c>
      <c r="P36" s="178" t="str">
        <f>IF($B36&gt;Inputs!$G$19,"",LOOKUP($B36,'Cash Flow'!$F$2:$AJ$2,'Cash Flow'!$F$51:$AJ$51))</f>
        <v/>
      </c>
      <c r="R36" s="392" t="str">
        <f>IF($B36&gt;Inputs!$G$19,"",D36+K36+L36)</f>
        <v/>
      </c>
      <c r="S36" s="393" t="str">
        <f>IF($B36&gt;Inputs!$G$19,"",-(E36+F36+G36))</f>
        <v/>
      </c>
    </row>
    <row r="37" spans="2:19">
      <c r="B37" s="182"/>
      <c r="C37" s="183"/>
      <c r="D37" s="183"/>
      <c r="E37" s="183"/>
      <c r="F37" s="183"/>
      <c r="G37" s="194"/>
      <c r="H37" s="183"/>
      <c r="I37" s="183"/>
      <c r="J37" s="183"/>
      <c r="K37" s="183"/>
      <c r="L37" s="183"/>
      <c r="M37" s="194"/>
      <c r="N37" s="194"/>
      <c r="O37" s="194"/>
      <c r="P37" s="195"/>
      <c r="R37" s="394"/>
      <c r="S37" s="395"/>
    </row>
    <row r="38" spans="2:19">
      <c r="G38" s="196"/>
      <c r="M38" s="196"/>
      <c r="N38" s="196"/>
      <c r="O38" s="196"/>
      <c r="P38" s="196"/>
    </row>
  </sheetData>
  <mergeCells count="3">
    <mergeCell ref="R4:R5"/>
    <mergeCell ref="S4:S5"/>
    <mergeCell ref="R3:S3"/>
  </mergeCells>
  <conditionalFormatting sqref="N7:N36">
    <cfRule type="expression" dxfId="4" priority="1">
      <formula>$N7=$N6</formula>
    </cfRule>
  </conditionalFormatting>
  <pageMargins left="0.7" right="0.7" top="0.75" bottom="0.75" header="0.3" footer="0.3"/>
  <pageSetup orientation="portrait" horizontalDpi="4294967293" verticalDpi="0"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J247"/>
  <sheetViews>
    <sheetView showGridLines="0" zoomScale="70" zoomScaleNormal="70" workbookViewId="0">
      <pane xSplit="5" ySplit="2" topLeftCell="F3" activePane="bottomRight" state="frozen"/>
      <selection pane="topRight" activeCell="D1" sqref="D1"/>
      <selection pane="bottomLeft" activeCell="A4" sqref="A4"/>
      <selection pane="bottomRight" activeCell="O41" sqref="O41"/>
    </sheetView>
  </sheetViews>
  <sheetFormatPr baseColWidth="10" defaultColWidth="8.83203125" defaultRowHeight="15"/>
  <cols>
    <col min="1" max="1" width="5.5" style="64" customWidth="1"/>
    <col min="2" max="2" width="56.5" style="64" customWidth="1"/>
    <col min="3" max="5" width="15.33203125" style="64" customWidth="1"/>
    <col min="6" max="36" width="18.1640625" style="64" customWidth="1"/>
    <col min="37" max="228" width="9.1640625" style="64"/>
    <col min="229" max="229" width="5.5" style="64" customWidth="1"/>
    <col min="230" max="230" width="56.5" style="64" customWidth="1"/>
    <col min="231" max="231" width="15.33203125" style="64" customWidth="1"/>
    <col min="232" max="232" width="15.83203125" style="64" customWidth="1"/>
    <col min="233" max="233" width="15.1640625" style="64" customWidth="1"/>
    <col min="234" max="292" width="13.6640625" style="64" customWidth="1"/>
    <col min="293" max="484" width="9.1640625" style="64"/>
    <col min="485" max="485" width="5.5" style="64" customWidth="1"/>
    <col min="486" max="486" width="56.5" style="64" customWidth="1"/>
    <col min="487" max="487" width="15.33203125" style="64" customWidth="1"/>
    <col min="488" max="488" width="15.83203125" style="64" customWidth="1"/>
    <col min="489" max="489" width="15.1640625" style="64" customWidth="1"/>
    <col min="490" max="548" width="13.6640625" style="64" customWidth="1"/>
    <col min="549" max="740" width="9.1640625" style="64"/>
    <col min="741" max="741" width="5.5" style="64" customWidth="1"/>
    <col min="742" max="742" width="56.5" style="64" customWidth="1"/>
    <col min="743" max="743" width="15.33203125" style="64" customWidth="1"/>
    <col min="744" max="744" width="15.83203125" style="64" customWidth="1"/>
    <col min="745" max="745" width="15.1640625" style="64" customWidth="1"/>
    <col min="746" max="804" width="13.6640625" style="64" customWidth="1"/>
    <col min="805" max="996" width="9.1640625" style="64"/>
    <col min="997" max="997" width="5.5" style="64" customWidth="1"/>
    <col min="998" max="998" width="56.5" style="64" customWidth="1"/>
    <col min="999" max="999" width="15.33203125" style="64" customWidth="1"/>
    <col min="1000" max="1000" width="15.83203125" style="64" customWidth="1"/>
    <col min="1001" max="1001" width="15.1640625" style="64" customWidth="1"/>
    <col min="1002" max="1060" width="13.6640625" style="64" customWidth="1"/>
    <col min="1061" max="1252" width="9.1640625" style="64"/>
    <col min="1253" max="1253" width="5.5" style="64" customWidth="1"/>
    <col min="1254" max="1254" width="56.5" style="64" customWidth="1"/>
    <col min="1255" max="1255" width="15.33203125" style="64" customWidth="1"/>
    <col min="1256" max="1256" width="15.83203125" style="64" customWidth="1"/>
    <col min="1257" max="1257" width="15.1640625" style="64" customWidth="1"/>
    <col min="1258" max="1316" width="13.6640625" style="64" customWidth="1"/>
    <col min="1317" max="1508" width="9.1640625" style="64"/>
    <col min="1509" max="1509" width="5.5" style="64" customWidth="1"/>
    <col min="1510" max="1510" width="56.5" style="64" customWidth="1"/>
    <col min="1511" max="1511" width="15.33203125" style="64" customWidth="1"/>
    <col min="1512" max="1512" width="15.83203125" style="64" customWidth="1"/>
    <col min="1513" max="1513" width="15.1640625" style="64" customWidth="1"/>
    <col min="1514" max="1572" width="13.6640625" style="64" customWidth="1"/>
    <col min="1573" max="1764" width="9.1640625" style="64"/>
    <col min="1765" max="1765" width="5.5" style="64" customWidth="1"/>
    <col min="1766" max="1766" width="56.5" style="64" customWidth="1"/>
    <col min="1767" max="1767" width="15.33203125" style="64" customWidth="1"/>
    <col min="1768" max="1768" width="15.83203125" style="64" customWidth="1"/>
    <col min="1769" max="1769" width="15.1640625" style="64" customWidth="1"/>
    <col min="1770" max="1828" width="13.6640625" style="64" customWidth="1"/>
    <col min="1829" max="2020" width="9.1640625" style="64"/>
    <col min="2021" max="2021" width="5.5" style="64" customWidth="1"/>
    <col min="2022" max="2022" width="56.5" style="64" customWidth="1"/>
    <col min="2023" max="2023" width="15.33203125" style="64" customWidth="1"/>
    <col min="2024" max="2024" width="15.83203125" style="64" customWidth="1"/>
    <col min="2025" max="2025" width="15.1640625" style="64" customWidth="1"/>
    <col min="2026" max="2084" width="13.6640625" style="64" customWidth="1"/>
    <col min="2085" max="2276" width="9.1640625" style="64"/>
    <col min="2277" max="2277" width="5.5" style="64" customWidth="1"/>
    <col min="2278" max="2278" width="56.5" style="64" customWidth="1"/>
    <col min="2279" max="2279" width="15.33203125" style="64" customWidth="1"/>
    <col min="2280" max="2280" width="15.83203125" style="64" customWidth="1"/>
    <col min="2281" max="2281" width="15.1640625" style="64" customWidth="1"/>
    <col min="2282" max="2340" width="13.6640625" style="64" customWidth="1"/>
    <col min="2341" max="2532" width="9.1640625" style="64"/>
    <col min="2533" max="2533" width="5.5" style="64" customWidth="1"/>
    <col min="2534" max="2534" width="56.5" style="64" customWidth="1"/>
    <col min="2535" max="2535" width="15.33203125" style="64" customWidth="1"/>
    <col min="2536" max="2536" width="15.83203125" style="64" customWidth="1"/>
    <col min="2537" max="2537" width="15.1640625" style="64" customWidth="1"/>
    <col min="2538" max="2596" width="13.6640625" style="64" customWidth="1"/>
    <col min="2597" max="2788" width="9.1640625" style="64"/>
    <col min="2789" max="2789" width="5.5" style="64" customWidth="1"/>
    <col min="2790" max="2790" width="56.5" style="64" customWidth="1"/>
    <col min="2791" max="2791" width="15.33203125" style="64" customWidth="1"/>
    <col min="2792" max="2792" width="15.83203125" style="64" customWidth="1"/>
    <col min="2793" max="2793" width="15.1640625" style="64" customWidth="1"/>
    <col min="2794" max="2852" width="13.6640625" style="64" customWidth="1"/>
    <col min="2853" max="3044" width="9.1640625" style="64"/>
    <col min="3045" max="3045" width="5.5" style="64" customWidth="1"/>
    <col min="3046" max="3046" width="56.5" style="64" customWidth="1"/>
    <col min="3047" max="3047" width="15.33203125" style="64" customWidth="1"/>
    <col min="3048" max="3048" width="15.83203125" style="64" customWidth="1"/>
    <col min="3049" max="3049" width="15.1640625" style="64" customWidth="1"/>
    <col min="3050" max="3108" width="13.6640625" style="64" customWidth="1"/>
    <col min="3109" max="3300" width="9.1640625" style="64"/>
    <col min="3301" max="3301" width="5.5" style="64" customWidth="1"/>
    <col min="3302" max="3302" width="56.5" style="64" customWidth="1"/>
    <col min="3303" max="3303" width="15.33203125" style="64" customWidth="1"/>
    <col min="3304" max="3304" width="15.83203125" style="64" customWidth="1"/>
    <col min="3305" max="3305" width="15.1640625" style="64" customWidth="1"/>
    <col min="3306" max="3364" width="13.6640625" style="64" customWidth="1"/>
    <col min="3365" max="3556" width="9.1640625" style="64"/>
    <col min="3557" max="3557" width="5.5" style="64" customWidth="1"/>
    <col min="3558" max="3558" width="56.5" style="64" customWidth="1"/>
    <col min="3559" max="3559" width="15.33203125" style="64" customWidth="1"/>
    <col min="3560" max="3560" width="15.83203125" style="64" customWidth="1"/>
    <col min="3561" max="3561" width="15.1640625" style="64" customWidth="1"/>
    <col min="3562" max="3620" width="13.6640625" style="64" customWidth="1"/>
    <col min="3621" max="3812" width="9.1640625" style="64"/>
    <col min="3813" max="3813" width="5.5" style="64" customWidth="1"/>
    <col min="3814" max="3814" width="56.5" style="64" customWidth="1"/>
    <col min="3815" max="3815" width="15.33203125" style="64" customWidth="1"/>
    <col min="3816" max="3816" width="15.83203125" style="64" customWidth="1"/>
    <col min="3817" max="3817" width="15.1640625" style="64" customWidth="1"/>
    <col min="3818" max="3876" width="13.6640625" style="64" customWidth="1"/>
    <col min="3877" max="4068" width="9.1640625" style="64"/>
    <col min="4069" max="4069" width="5.5" style="64" customWidth="1"/>
    <col min="4070" max="4070" width="56.5" style="64" customWidth="1"/>
    <col min="4071" max="4071" width="15.33203125" style="64" customWidth="1"/>
    <col min="4072" max="4072" width="15.83203125" style="64" customWidth="1"/>
    <col min="4073" max="4073" width="15.1640625" style="64" customWidth="1"/>
    <col min="4074" max="4132" width="13.6640625" style="64" customWidth="1"/>
    <col min="4133" max="4324" width="9.1640625" style="64"/>
    <col min="4325" max="4325" width="5.5" style="64" customWidth="1"/>
    <col min="4326" max="4326" width="56.5" style="64" customWidth="1"/>
    <col min="4327" max="4327" width="15.33203125" style="64" customWidth="1"/>
    <col min="4328" max="4328" width="15.83203125" style="64" customWidth="1"/>
    <col min="4329" max="4329" width="15.1640625" style="64" customWidth="1"/>
    <col min="4330" max="4388" width="13.6640625" style="64" customWidth="1"/>
    <col min="4389" max="4580" width="9.1640625" style="64"/>
    <col min="4581" max="4581" width="5.5" style="64" customWidth="1"/>
    <col min="4582" max="4582" width="56.5" style="64" customWidth="1"/>
    <col min="4583" max="4583" width="15.33203125" style="64" customWidth="1"/>
    <col min="4584" max="4584" width="15.83203125" style="64" customWidth="1"/>
    <col min="4585" max="4585" width="15.1640625" style="64" customWidth="1"/>
    <col min="4586" max="4644" width="13.6640625" style="64" customWidth="1"/>
    <col min="4645" max="4836" width="9.1640625" style="64"/>
    <col min="4837" max="4837" width="5.5" style="64" customWidth="1"/>
    <col min="4838" max="4838" width="56.5" style="64" customWidth="1"/>
    <col min="4839" max="4839" width="15.33203125" style="64" customWidth="1"/>
    <col min="4840" max="4840" width="15.83203125" style="64" customWidth="1"/>
    <col min="4841" max="4841" width="15.1640625" style="64" customWidth="1"/>
    <col min="4842" max="4900" width="13.6640625" style="64" customWidth="1"/>
    <col min="4901" max="5092" width="9.1640625" style="64"/>
    <col min="5093" max="5093" width="5.5" style="64" customWidth="1"/>
    <col min="5094" max="5094" width="56.5" style="64" customWidth="1"/>
    <col min="5095" max="5095" width="15.33203125" style="64" customWidth="1"/>
    <col min="5096" max="5096" width="15.83203125" style="64" customWidth="1"/>
    <col min="5097" max="5097" width="15.1640625" style="64" customWidth="1"/>
    <col min="5098" max="5156" width="13.6640625" style="64" customWidth="1"/>
    <col min="5157" max="5348" width="9.1640625" style="64"/>
    <col min="5349" max="5349" width="5.5" style="64" customWidth="1"/>
    <col min="5350" max="5350" width="56.5" style="64" customWidth="1"/>
    <col min="5351" max="5351" width="15.33203125" style="64" customWidth="1"/>
    <col min="5352" max="5352" width="15.83203125" style="64" customWidth="1"/>
    <col min="5353" max="5353" width="15.1640625" style="64" customWidth="1"/>
    <col min="5354" max="5412" width="13.6640625" style="64" customWidth="1"/>
    <col min="5413" max="5604" width="9.1640625" style="64"/>
    <col min="5605" max="5605" width="5.5" style="64" customWidth="1"/>
    <col min="5606" max="5606" width="56.5" style="64" customWidth="1"/>
    <col min="5607" max="5607" width="15.33203125" style="64" customWidth="1"/>
    <col min="5608" max="5608" width="15.83203125" style="64" customWidth="1"/>
    <col min="5609" max="5609" width="15.1640625" style="64" customWidth="1"/>
    <col min="5610" max="5668" width="13.6640625" style="64" customWidth="1"/>
    <col min="5669" max="5860" width="9.1640625" style="64"/>
    <col min="5861" max="5861" width="5.5" style="64" customWidth="1"/>
    <col min="5862" max="5862" width="56.5" style="64" customWidth="1"/>
    <col min="5863" max="5863" width="15.33203125" style="64" customWidth="1"/>
    <col min="5864" max="5864" width="15.83203125" style="64" customWidth="1"/>
    <col min="5865" max="5865" width="15.1640625" style="64" customWidth="1"/>
    <col min="5866" max="5924" width="13.6640625" style="64" customWidth="1"/>
    <col min="5925" max="6116" width="9.1640625" style="64"/>
    <col min="6117" max="6117" width="5.5" style="64" customWidth="1"/>
    <col min="6118" max="6118" width="56.5" style="64" customWidth="1"/>
    <col min="6119" max="6119" width="15.33203125" style="64" customWidth="1"/>
    <col min="6120" max="6120" width="15.83203125" style="64" customWidth="1"/>
    <col min="6121" max="6121" width="15.1640625" style="64" customWidth="1"/>
    <col min="6122" max="6180" width="13.6640625" style="64" customWidth="1"/>
    <col min="6181" max="6372" width="9.1640625" style="64"/>
    <col min="6373" max="6373" width="5.5" style="64" customWidth="1"/>
    <col min="6374" max="6374" width="56.5" style="64" customWidth="1"/>
    <col min="6375" max="6375" width="15.33203125" style="64" customWidth="1"/>
    <col min="6376" max="6376" width="15.83203125" style="64" customWidth="1"/>
    <col min="6377" max="6377" width="15.1640625" style="64" customWidth="1"/>
    <col min="6378" max="6436" width="13.6640625" style="64" customWidth="1"/>
    <col min="6437" max="6628" width="9.1640625" style="64"/>
    <col min="6629" max="6629" width="5.5" style="64" customWidth="1"/>
    <col min="6630" max="6630" width="56.5" style="64" customWidth="1"/>
    <col min="6631" max="6631" width="15.33203125" style="64" customWidth="1"/>
    <col min="6632" max="6632" width="15.83203125" style="64" customWidth="1"/>
    <col min="6633" max="6633" width="15.1640625" style="64" customWidth="1"/>
    <col min="6634" max="6692" width="13.6640625" style="64" customWidth="1"/>
    <col min="6693" max="6884" width="9.1640625" style="64"/>
    <col min="6885" max="6885" width="5.5" style="64" customWidth="1"/>
    <col min="6886" max="6886" width="56.5" style="64" customWidth="1"/>
    <col min="6887" max="6887" width="15.33203125" style="64" customWidth="1"/>
    <col min="6888" max="6888" width="15.83203125" style="64" customWidth="1"/>
    <col min="6889" max="6889" width="15.1640625" style="64" customWidth="1"/>
    <col min="6890" max="6948" width="13.6640625" style="64" customWidth="1"/>
    <col min="6949" max="7140" width="9.1640625" style="64"/>
    <col min="7141" max="7141" width="5.5" style="64" customWidth="1"/>
    <col min="7142" max="7142" width="56.5" style="64" customWidth="1"/>
    <col min="7143" max="7143" width="15.33203125" style="64" customWidth="1"/>
    <col min="7144" max="7144" width="15.83203125" style="64" customWidth="1"/>
    <col min="7145" max="7145" width="15.1640625" style="64" customWidth="1"/>
    <col min="7146" max="7204" width="13.6640625" style="64" customWidth="1"/>
    <col min="7205" max="7396" width="9.1640625" style="64"/>
    <col min="7397" max="7397" width="5.5" style="64" customWidth="1"/>
    <col min="7398" max="7398" width="56.5" style="64" customWidth="1"/>
    <col min="7399" max="7399" width="15.33203125" style="64" customWidth="1"/>
    <col min="7400" max="7400" width="15.83203125" style="64" customWidth="1"/>
    <col min="7401" max="7401" width="15.1640625" style="64" customWidth="1"/>
    <col min="7402" max="7460" width="13.6640625" style="64" customWidth="1"/>
    <col min="7461" max="7652" width="9.1640625" style="64"/>
    <col min="7653" max="7653" width="5.5" style="64" customWidth="1"/>
    <col min="7654" max="7654" width="56.5" style="64" customWidth="1"/>
    <col min="7655" max="7655" width="15.33203125" style="64" customWidth="1"/>
    <col min="7656" max="7656" width="15.83203125" style="64" customWidth="1"/>
    <col min="7657" max="7657" width="15.1640625" style="64" customWidth="1"/>
    <col min="7658" max="7716" width="13.6640625" style="64" customWidth="1"/>
    <col min="7717" max="7908" width="9.1640625" style="64"/>
    <col min="7909" max="7909" width="5.5" style="64" customWidth="1"/>
    <col min="7910" max="7910" width="56.5" style="64" customWidth="1"/>
    <col min="7911" max="7911" width="15.33203125" style="64" customWidth="1"/>
    <col min="7912" max="7912" width="15.83203125" style="64" customWidth="1"/>
    <col min="7913" max="7913" width="15.1640625" style="64" customWidth="1"/>
    <col min="7914" max="7972" width="13.6640625" style="64" customWidth="1"/>
    <col min="7973" max="8164" width="9.1640625" style="64"/>
    <col min="8165" max="8165" width="5.5" style="64" customWidth="1"/>
    <col min="8166" max="8166" width="56.5" style="64" customWidth="1"/>
    <col min="8167" max="8167" width="15.33203125" style="64" customWidth="1"/>
    <col min="8168" max="8168" width="15.83203125" style="64" customWidth="1"/>
    <col min="8169" max="8169" width="15.1640625" style="64" customWidth="1"/>
    <col min="8170" max="8228" width="13.6640625" style="64" customWidth="1"/>
    <col min="8229" max="8420" width="9.1640625" style="64"/>
    <col min="8421" max="8421" width="5.5" style="64" customWidth="1"/>
    <col min="8422" max="8422" width="56.5" style="64" customWidth="1"/>
    <col min="8423" max="8423" width="15.33203125" style="64" customWidth="1"/>
    <col min="8424" max="8424" width="15.83203125" style="64" customWidth="1"/>
    <col min="8425" max="8425" width="15.1640625" style="64" customWidth="1"/>
    <col min="8426" max="8484" width="13.6640625" style="64" customWidth="1"/>
    <col min="8485" max="8676" width="9.1640625" style="64"/>
    <col min="8677" max="8677" width="5.5" style="64" customWidth="1"/>
    <col min="8678" max="8678" width="56.5" style="64" customWidth="1"/>
    <col min="8679" max="8679" width="15.33203125" style="64" customWidth="1"/>
    <col min="8680" max="8680" width="15.83203125" style="64" customWidth="1"/>
    <col min="8681" max="8681" width="15.1640625" style="64" customWidth="1"/>
    <col min="8682" max="8740" width="13.6640625" style="64" customWidth="1"/>
    <col min="8741" max="8932" width="9.1640625" style="64"/>
    <col min="8933" max="8933" width="5.5" style="64" customWidth="1"/>
    <col min="8934" max="8934" width="56.5" style="64" customWidth="1"/>
    <col min="8935" max="8935" width="15.33203125" style="64" customWidth="1"/>
    <col min="8936" max="8936" width="15.83203125" style="64" customWidth="1"/>
    <col min="8937" max="8937" width="15.1640625" style="64" customWidth="1"/>
    <col min="8938" max="8996" width="13.6640625" style="64" customWidth="1"/>
    <col min="8997" max="9188" width="9.1640625" style="64"/>
    <col min="9189" max="9189" width="5.5" style="64" customWidth="1"/>
    <col min="9190" max="9190" width="56.5" style="64" customWidth="1"/>
    <col min="9191" max="9191" width="15.33203125" style="64" customWidth="1"/>
    <col min="9192" max="9192" width="15.83203125" style="64" customWidth="1"/>
    <col min="9193" max="9193" width="15.1640625" style="64" customWidth="1"/>
    <col min="9194" max="9252" width="13.6640625" style="64" customWidth="1"/>
    <col min="9253" max="9444" width="9.1640625" style="64"/>
    <col min="9445" max="9445" width="5.5" style="64" customWidth="1"/>
    <col min="9446" max="9446" width="56.5" style="64" customWidth="1"/>
    <col min="9447" max="9447" width="15.33203125" style="64" customWidth="1"/>
    <col min="9448" max="9448" width="15.83203125" style="64" customWidth="1"/>
    <col min="9449" max="9449" width="15.1640625" style="64" customWidth="1"/>
    <col min="9450" max="9508" width="13.6640625" style="64" customWidth="1"/>
    <col min="9509" max="9700" width="9.1640625" style="64"/>
    <col min="9701" max="9701" width="5.5" style="64" customWidth="1"/>
    <col min="9702" max="9702" width="56.5" style="64" customWidth="1"/>
    <col min="9703" max="9703" width="15.33203125" style="64" customWidth="1"/>
    <col min="9704" max="9704" width="15.83203125" style="64" customWidth="1"/>
    <col min="9705" max="9705" width="15.1640625" style="64" customWidth="1"/>
    <col min="9706" max="9764" width="13.6640625" style="64" customWidth="1"/>
    <col min="9765" max="9956" width="9.1640625" style="64"/>
    <col min="9957" max="9957" width="5.5" style="64" customWidth="1"/>
    <col min="9958" max="9958" width="56.5" style="64" customWidth="1"/>
    <col min="9959" max="9959" width="15.33203125" style="64" customWidth="1"/>
    <col min="9960" max="9960" width="15.83203125" style="64" customWidth="1"/>
    <col min="9961" max="9961" width="15.1640625" style="64" customWidth="1"/>
    <col min="9962" max="10020" width="13.6640625" style="64" customWidth="1"/>
    <col min="10021" max="10212" width="9.1640625" style="64"/>
    <col min="10213" max="10213" width="5.5" style="64" customWidth="1"/>
    <col min="10214" max="10214" width="56.5" style="64" customWidth="1"/>
    <col min="10215" max="10215" width="15.33203125" style="64" customWidth="1"/>
    <col min="10216" max="10216" width="15.83203125" style="64" customWidth="1"/>
    <col min="10217" max="10217" width="15.1640625" style="64" customWidth="1"/>
    <col min="10218" max="10276" width="13.6640625" style="64" customWidth="1"/>
    <col min="10277" max="10468" width="9.1640625" style="64"/>
    <col min="10469" max="10469" width="5.5" style="64" customWidth="1"/>
    <col min="10470" max="10470" width="56.5" style="64" customWidth="1"/>
    <col min="10471" max="10471" width="15.33203125" style="64" customWidth="1"/>
    <col min="10472" max="10472" width="15.83203125" style="64" customWidth="1"/>
    <col min="10473" max="10473" width="15.1640625" style="64" customWidth="1"/>
    <col min="10474" max="10532" width="13.6640625" style="64" customWidth="1"/>
    <col min="10533" max="10724" width="9.1640625" style="64"/>
    <col min="10725" max="10725" width="5.5" style="64" customWidth="1"/>
    <col min="10726" max="10726" width="56.5" style="64" customWidth="1"/>
    <col min="10727" max="10727" width="15.33203125" style="64" customWidth="1"/>
    <col min="10728" max="10728" width="15.83203125" style="64" customWidth="1"/>
    <col min="10729" max="10729" width="15.1640625" style="64" customWidth="1"/>
    <col min="10730" max="10788" width="13.6640625" style="64" customWidth="1"/>
    <col min="10789" max="10980" width="9.1640625" style="64"/>
    <col min="10981" max="10981" width="5.5" style="64" customWidth="1"/>
    <col min="10982" max="10982" width="56.5" style="64" customWidth="1"/>
    <col min="10983" max="10983" width="15.33203125" style="64" customWidth="1"/>
    <col min="10984" max="10984" width="15.83203125" style="64" customWidth="1"/>
    <col min="10985" max="10985" width="15.1640625" style="64" customWidth="1"/>
    <col min="10986" max="11044" width="13.6640625" style="64" customWidth="1"/>
    <col min="11045" max="11236" width="9.1640625" style="64"/>
    <col min="11237" max="11237" width="5.5" style="64" customWidth="1"/>
    <col min="11238" max="11238" width="56.5" style="64" customWidth="1"/>
    <col min="11239" max="11239" width="15.33203125" style="64" customWidth="1"/>
    <col min="11240" max="11240" width="15.83203125" style="64" customWidth="1"/>
    <col min="11241" max="11241" width="15.1640625" style="64" customWidth="1"/>
    <col min="11242" max="11300" width="13.6640625" style="64" customWidth="1"/>
    <col min="11301" max="11492" width="9.1640625" style="64"/>
    <col min="11493" max="11493" width="5.5" style="64" customWidth="1"/>
    <col min="11494" max="11494" width="56.5" style="64" customWidth="1"/>
    <col min="11495" max="11495" width="15.33203125" style="64" customWidth="1"/>
    <col min="11496" max="11496" width="15.83203125" style="64" customWidth="1"/>
    <col min="11497" max="11497" width="15.1640625" style="64" customWidth="1"/>
    <col min="11498" max="11556" width="13.6640625" style="64" customWidth="1"/>
    <col min="11557" max="11748" width="9.1640625" style="64"/>
    <col min="11749" max="11749" width="5.5" style="64" customWidth="1"/>
    <col min="11750" max="11750" width="56.5" style="64" customWidth="1"/>
    <col min="11751" max="11751" width="15.33203125" style="64" customWidth="1"/>
    <col min="11752" max="11752" width="15.83203125" style="64" customWidth="1"/>
    <col min="11753" max="11753" width="15.1640625" style="64" customWidth="1"/>
    <col min="11754" max="11812" width="13.6640625" style="64" customWidth="1"/>
    <col min="11813" max="12004" width="9.1640625" style="64"/>
    <col min="12005" max="12005" width="5.5" style="64" customWidth="1"/>
    <col min="12006" max="12006" width="56.5" style="64" customWidth="1"/>
    <col min="12007" max="12007" width="15.33203125" style="64" customWidth="1"/>
    <col min="12008" max="12008" width="15.83203125" style="64" customWidth="1"/>
    <col min="12009" max="12009" width="15.1640625" style="64" customWidth="1"/>
    <col min="12010" max="12068" width="13.6640625" style="64" customWidth="1"/>
    <col min="12069" max="12260" width="9.1640625" style="64"/>
    <col min="12261" max="12261" width="5.5" style="64" customWidth="1"/>
    <col min="12262" max="12262" width="56.5" style="64" customWidth="1"/>
    <col min="12263" max="12263" width="15.33203125" style="64" customWidth="1"/>
    <col min="12264" max="12264" width="15.83203125" style="64" customWidth="1"/>
    <col min="12265" max="12265" width="15.1640625" style="64" customWidth="1"/>
    <col min="12266" max="12324" width="13.6640625" style="64" customWidth="1"/>
    <col min="12325" max="12516" width="9.1640625" style="64"/>
    <col min="12517" max="12517" width="5.5" style="64" customWidth="1"/>
    <col min="12518" max="12518" width="56.5" style="64" customWidth="1"/>
    <col min="12519" max="12519" width="15.33203125" style="64" customWidth="1"/>
    <col min="12520" max="12520" width="15.83203125" style="64" customWidth="1"/>
    <col min="12521" max="12521" width="15.1640625" style="64" customWidth="1"/>
    <col min="12522" max="12580" width="13.6640625" style="64" customWidth="1"/>
    <col min="12581" max="12772" width="9.1640625" style="64"/>
    <col min="12773" max="12773" width="5.5" style="64" customWidth="1"/>
    <col min="12774" max="12774" width="56.5" style="64" customWidth="1"/>
    <col min="12775" max="12775" width="15.33203125" style="64" customWidth="1"/>
    <col min="12776" max="12776" width="15.83203125" style="64" customWidth="1"/>
    <col min="12777" max="12777" width="15.1640625" style="64" customWidth="1"/>
    <col min="12778" max="12836" width="13.6640625" style="64" customWidth="1"/>
    <col min="12837" max="13028" width="9.1640625" style="64"/>
    <col min="13029" max="13029" width="5.5" style="64" customWidth="1"/>
    <col min="13030" max="13030" width="56.5" style="64" customWidth="1"/>
    <col min="13031" max="13031" width="15.33203125" style="64" customWidth="1"/>
    <col min="13032" max="13032" width="15.83203125" style="64" customWidth="1"/>
    <col min="13033" max="13033" width="15.1640625" style="64" customWidth="1"/>
    <col min="13034" max="13092" width="13.6640625" style="64" customWidth="1"/>
    <col min="13093" max="13284" width="9.1640625" style="64"/>
    <col min="13285" max="13285" width="5.5" style="64" customWidth="1"/>
    <col min="13286" max="13286" width="56.5" style="64" customWidth="1"/>
    <col min="13287" max="13287" width="15.33203125" style="64" customWidth="1"/>
    <col min="13288" max="13288" width="15.83203125" style="64" customWidth="1"/>
    <col min="13289" max="13289" width="15.1640625" style="64" customWidth="1"/>
    <col min="13290" max="13348" width="13.6640625" style="64" customWidth="1"/>
    <col min="13349" max="13540" width="9.1640625" style="64"/>
    <col min="13541" max="13541" width="5.5" style="64" customWidth="1"/>
    <col min="13542" max="13542" width="56.5" style="64" customWidth="1"/>
    <col min="13543" max="13543" width="15.33203125" style="64" customWidth="1"/>
    <col min="13544" max="13544" width="15.83203125" style="64" customWidth="1"/>
    <col min="13545" max="13545" width="15.1640625" style="64" customWidth="1"/>
    <col min="13546" max="13604" width="13.6640625" style="64" customWidth="1"/>
    <col min="13605" max="13796" width="9.1640625" style="64"/>
    <col min="13797" max="13797" width="5.5" style="64" customWidth="1"/>
    <col min="13798" max="13798" width="56.5" style="64" customWidth="1"/>
    <col min="13799" max="13799" width="15.33203125" style="64" customWidth="1"/>
    <col min="13800" max="13800" width="15.83203125" style="64" customWidth="1"/>
    <col min="13801" max="13801" width="15.1640625" style="64" customWidth="1"/>
    <col min="13802" max="13860" width="13.6640625" style="64" customWidth="1"/>
    <col min="13861" max="14052" width="9.1640625" style="64"/>
    <col min="14053" max="14053" width="5.5" style="64" customWidth="1"/>
    <col min="14054" max="14054" width="56.5" style="64" customWidth="1"/>
    <col min="14055" max="14055" width="15.33203125" style="64" customWidth="1"/>
    <col min="14056" max="14056" width="15.83203125" style="64" customWidth="1"/>
    <col min="14057" max="14057" width="15.1640625" style="64" customWidth="1"/>
    <col min="14058" max="14116" width="13.6640625" style="64" customWidth="1"/>
    <col min="14117" max="14308" width="9.1640625" style="64"/>
    <col min="14309" max="14309" width="5.5" style="64" customWidth="1"/>
    <col min="14310" max="14310" width="56.5" style="64" customWidth="1"/>
    <col min="14311" max="14311" width="15.33203125" style="64" customWidth="1"/>
    <col min="14312" max="14312" width="15.83203125" style="64" customWidth="1"/>
    <col min="14313" max="14313" width="15.1640625" style="64" customWidth="1"/>
    <col min="14314" max="14372" width="13.6640625" style="64" customWidth="1"/>
    <col min="14373" max="14564" width="9.1640625" style="64"/>
    <col min="14565" max="14565" width="5.5" style="64" customWidth="1"/>
    <col min="14566" max="14566" width="56.5" style="64" customWidth="1"/>
    <col min="14567" max="14567" width="15.33203125" style="64" customWidth="1"/>
    <col min="14568" max="14568" width="15.83203125" style="64" customWidth="1"/>
    <col min="14569" max="14569" width="15.1640625" style="64" customWidth="1"/>
    <col min="14570" max="14628" width="13.6640625" style="64" customWidth="1"/>
    <col min="14629" max="14820" width="9.1640625" style="64"/>
    <col min="14821" max="14821" width="5.5" style="64" customWidth="1"/>
    <col min="14822" max="14822" width="56.5" style="64" customWidth="1"/>
    <col min="14823" max="14823" width="15.33203125" style="64" customWidth="1"/>
    <col min="14824" max="14824" width="15.83203125" style="64" customWidth="1"/>
    <col min="14825" max="14825" width="15.1640625" style="64" customWidth="1"/>
    <col min="14826" max="14884" width="13.6640625" style="64" customWidth="1"/>
    <col min="14885" max="15076" width="9.1640625" style="64"/>
    <col min="15077" max="15077" width="5.5" style="64" customWidth="1"/>
    <col min="15078" max="15078" width="56.5" style="64" customWidth="1"/>
    <col min="15079" max="15079" width="15.33203125" style="64" customWidth="1"/>
    <col min="15080" max="15080" width="15.83203125" style="64" customWidth="1"/>
    <col min="15081" max="15081" width="15.1640625" style="64" customWidth="1"/>
    <col min="15082" max="15140" width="13.6640625" style="64" customWidth="1"/>
    <col min="15141" max="15332" width="9.1640625" style="64"/>
    <col min="15333" max="15333" width="5.5" style="64" customWidth="1"/>
    <col min="15334" max="15334" width="56.5" style="64" customWidth="1"/>
    <col min="15335" max="15335" width="15.33203125" style="64" customWidth="1"/>
    <col min="15336" max="15336" width="15.83203125" style="64" customWidth="1"/>
    <col min="15337" max="15337" width="15.1640625" style="64" customWidth="1"/>
    <col min="15338" max="15396" width="13.6640625" style="64" customWidth="1"/>
    <col min="15397" max="15588" width="9.1640625" style="64"/>
    <col min="15589" max="15589" width="5.5" style="64" customWidth="1"/>
    <col min="15590" max="15590" width="56.5" style="64" customWidth="1"/>
    <col min="15591" max="15591" width="15.33203125" style="64" customWidth="1"/>
    <col min="15592" max="15592" width="15.83203125" style="64" customWidth="1"/>
    <col min="15593" max="15593" width="15.1640625" style="64" customWidth="1"/>
    <col min="15594" max="15652" width="13.6640625" style="64" customWidth="1"/>
    <col min="15653" max="15844" width="9.1640625" style="64"/>
    <col min="15845" max="15845" width="5.5" style="64" customWidth="1"/>
    <col min="15846" max="15846" width="56.5" style="64" customWidth="1"/>
    <col min="15847" max="15847" width="15.33203125" style="64" customWidth="1"/>
    <col min="15848" max="15848" width="15.83203125" style="64" customWidth="1"/>
    <col min="15849" max="15849" width="15.1640625" style="64" customWidth="1"/>
    <col min="15850" max="15908" width="13.6640625" style="64" customWidth="1"/>
    <col min="15909" max="16100" width="9.1640625" style="64"/>
    <col min="16101" max="16101" width="5.5" style="64" customWidth="1"/>
    <col min="16102" max="16102" width="56.5" style="64" customWidth="1"/>
    <col min="16103" max="16103" width="15.33203125" style="64" customWidth="1"/>
    <col min="16104" max="16104" width="15.83203125" style="64" customWidth="1"/>
    <col min="16105" max="16105" width="15.1640625" style="64" customWidth="1"/>
    <col min="16106" max="16164" width="13.6640625" style="64" customWidth="1"/>
    <col min="16165" max="16384" width="9.1640625" style="64"/>
  </cols>
  <sheetData>
    <row r="1" spans="2:36" ht="16">
      <c r="F1" s="30" t="s">
        <v>64</v>
      </c>
    </row>
    <row r="2" spans="2:36" s="29" customFormat="1" ht="16">
      <c r="B2" s="31" t="s">
        <v>122</v>
      </c>
      <c r="C2" s="31"/>
      <c r="D2" s="31"/>
      <c r="E2" s="253" t="s">
        <v>61</v>
      </c>
      <c r="F2" s="32">
        <v>0</v>
      </c>
      <c r="G2" s="32">
        <v>1</v>
      </c>
      <c r="H2" s="32">
        <v>2</v>
      </c>
      <c r="I2" s="32">
        <v>3</v>
      </c>
      <c r="J2" s="32">
        <v>4</v>
      </c>
      <c r="K2" s="32">
        <v>5</v>
      </c>
      <c r="L2" s="32">
        <v>6</v>
      </c>
      <c r="M2" s="32">
        <v>7</v>
      </c>
      <c r="N2" s="32">
        <v>8</v>
      </c>
      <c r="O2" s="32">
        <v>9</v>
      </c>
      <c r="P2" s="32">
        <v>10</v>
      </c>
      <c r="Q2" s="32">
        <v>11</v>
      </c>
      <c r="R2" s="32">
        <v>12</v>
      </c>
      <c r="S2" s="32">
        <v>13</v>
      </c>
      <c r="T2" s="32">
        <v>14</v>
      </c>
      <c r="U2" s="32">
        <v>15</v>
      </c>
      <c r="V2" s="32">
        <v>16</v>
      </c>
      <c r="W2" s="32">
        <v>17</v>
      </c>
      <c r="X2" s="32">
        <v>18</v>
      </c>
      <c r="Y2" s="32">
        <v>19</v>
      </c>
      <c r="Z2" s="32">
        <v>20</v>
      </c>
      <c r="AA2" s="32">
        <v>21</v>
      </c>
      <c r="AB2" s="32">
        <v>22</v>
      </c>
      <c r="AC2" s="32">
        <v>23</v>
      </c>
      <c r="AD2" s="32">
        <v>24</v>
      </c>
      <c r="AE2" s="32">
        <v>25</v>
      </c>
      <c r="AF2" s="32">
        <v>26</v>
      </c>
      <c r="AG2" s="32">
        <v>27</v>
      </c>
      <c r="AH2" s="32">
        <v>28</v>
      </c>
      <c r="AI2" s="32">
        <v>29</v>
      </c>
      <c r="AJ2" s="32">
        <v>30</v>
      </c>
    </row>
    <row r="3" spans="2:36" s="29" customFormat="1" ht="16"/>
    <row r="4" spans="2:36" s="29" customFormat="1" ht="16">
      <c r="B4" s="29" t="s">
        <v>459</v>
      </c>
      <c r="E4" s="79" t="s">
        <v>1</v>
      </c>
      <c r="G4" s="757"/>
      <c r="H4" s="757">
        <f>G6</f>
        <v>0.48</v>
      </c>
      <c r="I4" s="757">
        <f t="shared" ref="I4:AJ4" si="0">H6</f>
        <v>0.47039999999999998</v>
      </c>
      <c r="J4" s="757">
        <f t="shared" si="0"/>
        <v>0.46099199999999996</v>
      </c>
      <c r="K4" s="757">
        <f t="shared" si="0"/>
        <v>0.45177215999999992</v>
      </c>
      <c r="L4" s="757">
        <f t="shared" si="0"/>
        <v>0.49694937599999994</v>
      </c>
      <c r="M4" s="757">
        <f t="shared" si="0"/>
        <v>0.48701038847999994</v>
      </c>
      <c r="N4" s="757">
        <f t="shared" si="0"/>
        <v>0.47727018071039995</v>
      </c>
      <c r="O4" s="757">
        <f t="shared" si="0"/>
        <v>0.46772477709619192</v>
      </c>
      <c r="P4" s="757">
        <f t="shared" si="0"/>
        <v>0.45837028155426807</v>
      </c>
      <c r="Q4" s="757">
        <f t="shared" si="0"/>
        <v>0.50420730970969496</v>
      </c>
      <c r="R4" s="757">
        <f t="shared" si="0"/>
        <v>0.49412316351550106</v>
      </c>
      <c r="S4" s="757">
        <f t="shared" si="0"/>
        <v>0.48424070024519106</v>
      </c>
      <c r="T4" s="757">
        <f t="shared" si="0"/>
        <v>0.47455588624028722</v>
      </c>
      <c r="U4" s="757">
        <f t="shared" si="0"/>
        <v>0.46506476851548145</v>
      </c>
      <c r="V4" s="757">
        <f t="shared" si="0"/>
        <v>0.51157124536702969</v>
      </c>
      <c r="W4" s="757">
        <f t="shared" si="0"/>
        <v>0.50133982045968906</v>
      </c>
      <c r="X4" s="757">
        <f t="shared" si="0"/>
        <v>0.49131302405049526</v>
      </c>
      <c r="Y4" s="757">
        <f t="shared" si="0"/>
        <v>0.48148676356948533</v>
      </c>
      <c r="Z4" s="757">
        <f t="shared" si="0"/>
        <v>0.47185702829809562</v>
      </c>
      <c r="AA4" s="757">
        <f t="shared" si="0"/>
        <v>0.51904273112790522</v>
      </c>
      <c r="AB4" s="757">
        <f t="shared" si="0"/>
        <v>0.50866187650534711</v>
      </c>
      <c r="AC4" s="757">
        <f t="shared" si="0"/>
        <v>0.49848863897524015</v>
      </c>
      <c r="AD4" s="757">
        <f t="shared" si="0"/>
        <v>0.48851886619573531</v>
      </c>
      <c r="AE4" s="757">
        <f t="shared" si="0"/>
        <v>0.47874848887182059</v>
      </c>
      <c r="AF4" s="757">
        <f t="shared" si="0"/>
        <v>0.46917351909438415</v>
      </c>
      <c r="AG4" s="757">
        <f t="shared" si="0"/>
        <v>0.45979004871249646</v>
      </c>
      <c r="AH4" s="757">
        <f t="shared" si="0"/>
        <v>0.45059424773824652</v>
      </c>
      <c r="AI4" s="757">
        <f t="shared" si="0"/>
        <v>0.44158236278348156</v>
      </c>
      <c r="AJ4" s="757">
        <f t="shared" si="0"/>
        <v>0.43275071552781191</v>
      </c>
    </row>
    <row r="5" spans="2:36" s="29" customFormat="1" ht="16">
      <c r="B5" s="29" t="s">
        <v>466</v>
      </c>
      <c r="E5" s="79" t="s">
        <v>1</v>
      </c>
      <c r="G5" s="757"/>
      <c r="H5" s="750">
        <f>IF(OR(H$2=Inputs!$Q$55,H$2=Inputs!$Q$57,H$2=Inputs!$Q$59,H$2=Inputs!$Q$61),Inputs!$Q$63,-Inputs!$G$17)</f>
        <v>-0.02</v>
      </c>
      <c r="I5" s="750">
        <f>IF(OR(I$2=Inputs!$Q$55,I$2=Inputs!$Q$57,I$2=Inputs!$Q$59,I$2=Inputs!$Q$61),Inputs!$Q$63,-Inputs!$G$17)</f>
        <v>-0.02</v>
      </c>
      <c r="J5" s="750">
        <f>IF(OR(J$2=Inputs!$Q$55,J$2=Inputs!$Q$57,J$2=Inputs!$Q$59,J$2=Inputs!$Q$61),Inputs!$Q$63,-Inputs!$G$17)</f>
        <v>-0.02</v>
      </c>
      <c r="K5" s="750">
        <f>IF(OR(K$2=Inputs!$Q$55,K$2=Inputs!$Q$57,K$2=Inputs!$Q$59,K$2=Inputs!$Q$61),Inputs!$Q$63,-Inputs!$G$17)</f>
        <v>0.1</v>
      </c>
      <c r="L5" s="750">
        <f>IF(OR(L$2=Inputs!$Q$55,L$2=Inputs!$Q$57,L$2=Inputs!$Q$59,L$2=Inputs!$Q$61),Inputs!$Q$63,-Inputs!$G$17)</f>
        <v>-0.02</v>
      </c>
      <c r="M5" s="750">
        <f>IF(OR(M$2=Inputs!$Q$55,M$2=Inputs!$Q$57,M$2=Inputs!$Q$59,M$2=Inputs!$Q$61),Inputs!$Q$63,-Inputs!$G$17)</f>
        <v>-0.02</v>
      </c>
      <c r="N5" s="750">
        <f>IF(OR(N$2=Inputs!$Q$55,N$2=Inputs!$Q$57,N$2=Inputs!$Q$59,N$2=Inputs!$Q$61),Inputs!$Q$63,-Inputs!$G$17)</f>
        <v>-0.02</v>
      </c>
      <c r="O5" s="750">
        <f>IF(OR(O$2=Inputs!$Q$55,O$2=Inputs!$Q$57,O$2=Inputs!$Q$59,O$2=Inputs!$Q$61),Inputs!$Q$63,-Inputs!$G$17)</f>
        <v>-0.02</v>
      </c>
      <c r="P5" s="750">
        <f>IF(OR(P$2=Inputs!$Q$55,P$2=Inputs!$Q$57,P$2=Inputs!$Q$59,P$2=Inputs!$Q$61),Inputs!$Q$63,-Inputs!$G$17)</f>
        <v>0.1</v>
      </c>
      <c r="Q5" s="750">
        <f>IF(OR(Q$2=Inputs!$Q$55,Q$2=Inputs!$Q$57,Q$2=Inputs!$Q$59,Q$2=Inputs!$Q$61),Inputs!$Q$63,-Inputs!$G$17)</f>
        <v>-0.02</v>
      </c>
      <c r="R5" s="750">
        <f>IF(OR(R$2=Inputs!$Q$55,R$2=Inputs!$Q$57,R$2=Inputs!$Q$59,R$2=Inputs!$Q$61),Inputs!$Q$63,-Inputs!$G$17)</f>
        <v>-0.02</v>
      </c>
      <c r="S5" s="750">
        <f>IF(OR(S$2=Inputs!$Q$55,S$2=Inputs!$Q$57,S$2=Inputs!$Q$59,S$2=Inputs!$Q$61),Inputs!$Q$63,-Inputs!$G$17)</f>
        <v>-0.02</v>
      </c>
      <c r="T5" s="750">
        <f>IF(OR(T$2=Inputs!$Q$55,T$2=Inputs!$Q$57,T$2=Inputs!$Q$59,T$2=Inputs!$Q$61),Inputs!$Q$63,-Inputs!$G$17)</f>
        <v>-0.02</v>
      </c>
      <c r="U5" s="750">
        <f>IF(OR(U$2=Inputs!$Q$55,U$2=Inputs!$Q$57,U$2=Inputs!$Q$59,U$2=Inputs!$Q$61),Inputs!$Q$63,-Inputs!$G$17)</f>
        <v>0.1</v>
      </c>
      <c r="V5" s="750">
        <f>IF(OR(V$2=Inputs!$Q$55,V$2=Inputs!$Q$57,V$2=Inputs!$Q$59,V$2=Inputs!$Q$61),Inputs!$Q$63,-Inputs!$G$17)</f>
        <v>-0.02</v>
      </c>
      <c r="W5" s="750">
        <f>IF(OR(W$2=Inputs!$Q$55,W$2=Inputs!$Q$57,W$2=Inputs!$Q$59,W$2=Inputs!$Q$61),Inputs!$Q$63,-Inputs!$G$17)</f>
        <v>-0.02</v>
      </c>
      <c r="X5" s="750">
        <f>IF(OR(X$2=Inputs!$Q$55,X$2=Inputs!$Q$57,X$2=Inputs!$Q$59,X$2=Inputs!$Q$61),Inputs!$Q$63,-Inputs!$G$17)</f>
        <v>-0.02</v>
      </c>
      <c r="Y5" s="750">
        <f>IF(OR(Y$2=Inputs!$Q$55,Y$2=Inputs!$Q$57,Y$2=Inputs!$Q$59,Y$2=Inputs!$Q$61),Inputs!$Q$63,-Inputs!$G$17)</f>
        <v>-0.02</v>
      </c>
      <c r="Z5" s="750">
        <f>IF(OR(Z$2=Inputs!$Q$55,Z$2=Inputs!$Q$57,Z$2=Inputs!$Q$59,Z$2=Inputs!$Q$61),Inputs!$Q$63,-Inputs!$G$17)</f>
        <v>0.1</v>
      </c>
      <c r="AA5" s="750">
        <f>IF(OR(AA$2=Inputs!$Q$55,AA$2=Inputs!$Q$57,AA$2=Inputs!$Q$59,AA$2=Inputs!$Q$61),Inputs!$Q$63,-Inputs!$G$17)</f>
        <v>-0.02</v>
      </c>
      <c r="AB5" s="750">
        <f>IF(OR(AB$2=Inputs!$Q$55,AB$2=Inputs!$Q$57,AB$2=Inputs!$Q$59,AB$2=Inputs!$Q$61),Inputs!$Q$63,-Inputs!$G$17)</f>
        <v>-0.02</v>
      </c>
      <c r="AC5" s="750">
        <f>IF(OR(AC$2=Inputs!$Q$55,AC$2=Inputs!$Q$57,AC$2=Inputs!$Q$59,AC$2=Inputs!$Q$61),Inputs!$Q$63,-Inputs!$G$17)</f>
        <v>-0.02</v>
      </c>
      <c r="AD5" s="750">
        <f>IF(OR(AD$2=Inputs!$Q$55,AD$2=Inputs!$Q$57,AD$2=Inputs!$Q$59,AD$2=Inputs!$Q$61),Inputs!$Q$63,-Inputs!$G$17)</f>
        <v>-0.02</v>
      </c>
      <c r="AE5" s="750">
        <f>IF(OR(AE$2=Inputs!$Q$55,AE$2=Inputs!$Q$57,AE$2=Inputs!$Q$59,AE$2=Inputs!$Q$61),Inputs!$Q$63,-Inputs!$G$17)</f>
        <v>-0.02</v>
      </c>
      <c r="AF5" s="750">
        <f>IF(OR(AF$2=Inputs!$Q$55,AF$2=Inputs!$Q$57,AF$2=Inputs!$Q$59,AF$2=Inputs!$Q$61),Inputs!$Q$63,-Inputs!$G$17)</f>
        <v>-0.02</v>
      </c>
      <c r="AG5" s="750">
        <f>IF(OR(AG$2=Inputs!$Q$55,AG$2=Inputs!$Q$57,AG$2=Inputs!$Q$59,AG$2=Inputs!$Q$61),Inputs!$Q$63,-Inputs!$G$17)</f>
        <v>-0.02</v>
      </c>
      <c r="AH5" s="750">
        <f>IF(OR(AH$2=Inputs!$Q$55,AH$2=Inputs!$Q$57,AH$2=Inputs!$Q$59,AH$2=Inputs!$Q$61),Inputs!$Q$63,-Inputs!$G$17)</f>
        <v>-0.02</v>
      </c>
      <c r="AI5" s="750">
        <f>IF(OR(AI$2=Inputs!$Q$55,AI$2=Inputs!$Q$57,AI$2=Inputs!$Q$59,AI$2=Inputs!$Q$61),Inputs!$Q$63,-Inputs!$G$17)</f>
        <v>-0.02</v>
      </c>
      <c r="AJ5" s="750">
        <f>IF(OR(AJ$2=Inputs!$Q$55,AJ$2=Inputs!$Q$57,AJ$2=Inputs!$Q$59,AJ$2=Inputs!$Q$61),Inputs!$Q$63,-Inputs!$G$17)</f>
        <v>-0.02</v>
      </c>
    </row>
    <row r="6" spans="2:36" s="29" customFormat="1" ht="16">
      <c r="B6" s="29" t="s">
        <v>460</v>
      </c>
      <c r="E6" s="79" t="s">
        <v>1</v>
      </c>
      <c r="G6" s="757">
        <f>Inputs!$G$10</f>
        <v>0.48</v>
      </c>
      <c r="H6" s="757">
        <f>H4*(1+H5)</f>
        <v>0.47039999999999998</v>
      </c>
      <c r="I6" s="757">
        <f t="shared" ref="I6:AJ6" si="1">I4*(1+I5)</f>
        <v>0.46099199999999996</v>
      </c>
      <c r="J6" s="757">
        <f t="shared" si="1"/>
        <v>0.45177215999999992</v>
      </c>
      <c r="K6" s="757">
        <f t="shared" si="1"/>
        <v>0.49694937599999994</v>
      </c>
      <c r="L6" s="757">
        <f t="shared" si="1"/>
        <v>0.48701038847999994</v>
      </c>
      <c r="M6" s="757">
        <f t="shared" si="1"/>
        <v>0.47727018071039995</v>
      </c>
      <c r="N6" s="757">
        <f t="shared" si="1"/>
        <v>0.46772477709619192</v>
      </c>
      <c r="O6" s="757">
        <f t="shared" si="1"/>
        <v>0.45837028155426807</v>
      </c>
      <c r="P6" s="757">
        <f t="shared" si="1"/>
        <v>0.50420730970969496</v>
      </c>
      <c r="Q6" s="757">
        <f t="shared" si="1"/>
        <v>0.49412316351550106</v>
      </c>
      <c r="R6" s="757">
        <f t="shared" si="1"/>
        <v>0.48424070024519106</v>
      </c>
      <c r="S6" s="757">
        <f t="shared" si="1"/>
        <v>0.47455588624028722</v>
      </c>
      <c r="T6" s="757">
        <f t="shared" si="1"/>
        <v>0.46506476851548145</v>
      </c>
      <c r="U6" s="757">
        <f t="shared" si="1"/>
        <v>0.51157124536702969</v>
      </c>
      <c r="V6" s="757">
        <f t="shared" si="1"/>
        <v>0.50133982045968906</v>
      </c>
      <c r="W6" s="757">
        <f t="shared" si="1"/>
        <v>0.49131302405049526</v>
      </c>
      <c r="X6" s="757">
        <f t="shared" si="1"/>
        <v>0.48148676356948533</v>
      </c>
      <c r="Y6" s="757">
        <f t="shared" si="1"/>
        <v>0.47185702829809562</v>
      </c>
      <c r="Z6" s="757">
        <f t="shared" si="1"/>
        <v>0.51904273112790522</v>
      </c>
      <c r="AA6" s="757">
        <f t="shared" si="1"/>
        <v>0.50866187650534711</v>
      </c>
      <c r="AB6" s="757">
        <f t="shared" si="1"/>
        <v>0.49848863897524015</v>
      </c>
      <c r="AC6" s="757">
        <f t="shared" si="1"/>
        <v>0.48851886619573531</v>
      </c>
      <c r="AD6" s="757">
        <f t="shared" si="1"/>
        <v>0.47874848887182059</v>
      </c>
      <c r="AE6" s="757">
        <f t="shared" si="1"/>
        <v>0.46917351909438415</v>
      </c>
      <c r="AF6" s="757">
        <f t="shared" si="1"/>
        <v>0.45979004871249646</v>
      </c>
      <c r="AG6" s="757">
        <f t="shared" si="1"/>
        <v>0.45059424773824652</v>
      </c>
      <c r="AH6" s="757">
        <f t="shared" si="1"/>
        <v>0.44158236278348156</v>
      </c>
      <c r="AI6" s="757">
        <f t="shared" si="1"/>
        <v>0.43275071552781191</v>
      </c>
      <c r="AJ6" s="757">
        <f t="shared" si="1"/>
        <v>0.42409570121725565</v>
      </c>
    </row>
    <row r="7" spans="2:36" s="29" customFormat="1" ht="16">
      <c r="B7" s="29" t="s">
        <v>461</v>
      </c>
      <c r="E7" s="79" t="s">
        <v>425</v>
      </c>
      <c r="G7" s="35">
        <f>Inputs!$G$11</f>
        <v>7108.3333333333339</v>
      </c>
      <c r="H7" s="35">
        <f>IF(H2&gt;Inputs!$G$19,0,3412/H6)</f>
        <v>7253.4013605442178</v>
      </c>
      <c r="I7" s="35">
        <f>IF(I2&gt;Inputs!$G$19,0,3412/I6)</f>
        <v>7401.4299597389981</v>
      </c>
      <c r="J7" s="35">
        <f>IF(J2&gt;Inputs!$G$19,0,3412/J6)</f>
        <v>7552.4795507540803</v>
      </c>
      <c r="K7" s="35">
        <f>IF(K2&gt;Inputs!$G$19,0,3412/K6)</f>
        <v>6865.8905006855275</v>
      </c>
      <c r="L7" s="35">
        <f>IF(L2&gt;Inputs!$G$19,0,3412/L6)</f>
        <v>7006.010714985232</v>
      </c>
      <c r="M7" s="35">
        <f>IF(M2&gt;Inputs!$G$19,0,3412/M6)</f>
        <v>7148.9905254951345</v>
      </c>
      <c r="N7" s="35">
        <f>IF(N2&gt;Inputs!$G$19,0,3412/N6)</f>
        <v>7294.8882913215666</v>
      </c>
      <c r="O7" s="35">
        <f>IF(O2&gt;Inputs!$G$19,0,3412/O6)</f>
        <v>7443.7635625730272</v>
      </c>
      <c r="P7" s="35">
        <f>IF(P2&gt;Inputs!$G$19,0,3412/P6)</f>
        <v>6767.0577841572958</v>
      </c>
      <c r="Q7" s="35">
        <f>IF(Q2&gt;Inputs!$G$19,0,3412/Q6)</f>
        <v>6905.1610042421389</v>
      </c>
      <c r="R7" s="35">
        <f>IF(R2&gt;Inputs!$G$19,0,3412/R6)</f>
        <v>7046.0826573899376</v>
      </c>
      <c r="S7" s="35">
        <f>IF(S2&gt;Inputs!$G$19,0,3412/S6)</f>
        <v>7189.8802626427942</v>
      </c>
      <c r="T7" s="35">
        <f>IF(T2&gt;Inputs!$G$19,0,3412/T6)</f>
        <v>7336.6125129008105</v>
      </c>
      <c r="U7" s="35">
        <f>IF(U2&gt;Inputs!$G$19,0,3412/U6)</f>
        <v>6669.6477390007358</v>
      </c>
      <c r="V7" s="35">
        <f>IF(V2&gt;Inputs!$G$19,0,3412/V6)</f>
        <v>6805.7629989803427</v>
      </c>
      <c r="W7" s="35">
        <f>IF(W2&gt;Inputs!$G$19,0,3412/W6)</f>
        <v>6944.6561214085132</v>
      </c>
      <c r="X7" s="35">
        <f>IF(X2&gt;Inputs!$G$19,0,3412/X6)</f>
        <v>7086.3837973556265</v>
      </c>
      <c r="Y7" s="35">
        <f>IF(Y2&gt;Inputs!$G$19,0,3412/Y6)</f>
        <v>7231.0038748526795</v>
      </c>
      <c r="Z7" s="35">
        <f>IF(Z2&gt;Inputs!$G$19,0,3412/Z6)</f>
        <v>6573.6398862297083</v>
      </c>
      <c r="AA7" s="35">
        <f>IF(AA2&gt;Inputs!$G$19,0,3412/AA6)</f>
        <v>0</v>
      </c>
      <c r="AB7" s="35">
        <f>IF(AB2&gt;Inputs!$G$19,0,3412/AB6)</f>
        <v>0</v>
      </c>
      <c r="AC7" s="35">
        <f>IF(AC2&gt;Inputs!$G$19,0,3412/AC6)</f>
        <v>0</v>
      </c>
      <c r="AD7" s="35">
        <f>IF(AD2&gt;Inputs!$G$19,0,3412/AD6)</f>
        <v>0</v>
      </c>
      <c r="AE7" s="35">
        <f>IF(AE2&gt;Inputs!$G$19,0,3412/AE6)</f>
        <v>0</v>
      </c>
      <c r="AF7" s="35">
        <f>IF(AF2&gt;Inputs!$G$19,0,3412/AF6)</f>
        <v>0</v>
      </c>
      <c r="AG7" s="35">
        <f>IF(AG2&gt;Inputs!$G$19,0,3412/AG6)</f>
        <v>0</v>
      </c>
      <c r="AH7" s="35">
        <f>IF(AH2&gt;Inputs!$G$19,0,3412/AH6)</f>
        <v>0</v>
      </c>
      <c r="AI7" s="35">
        <f>IF(AI2&gt;Inputs!$G$19,0,3412/AI6)</f>
        <v>0</v>
      </c>
      <c r="AJ7" s="35">
        <f>IF(AJ2&gt;Inputs!$G$19,0,3412/AJ6)</f>
        <v>0</v>
      </c>
    </row>
    <row r="8" spans="2:36" s="29" customFormat="1" ht="16">
      <c r="B8" s="29" t="s">
        <v>462</v>
      </c>
      <c r="E8" s="79" t="s">
        <v>463</v>
      </c>
      <c r="G8" s="35">
        <f>IF(G$2&gt;Inputs!$G$19,0,(Inputs!$G$9*G7)/Inputs!$G$12*24*365)</f>
        <v>227281850</v>
      </c>
      <c r="H8" s="35">
        <f>IF(H$2&gt;Inputs!$G$19,0,(Inputs!$G$9*H7)/Inputs!$G$12*24*365)</f>
        <v>231920255.10204083</v>
      </c>
      <c r="I8" s="35">
        <f>IF(I$2&gt;Inputs!$G$19,0,(Inputs!$G$9*I7)/Inputs!$G$12*24*365)</f>
        <v>236653321.53269476</v>
      </c>
      <c r="J8" s="35">
        <f>IF(J$2&gt;Inputs!$G$19,0,(Inputs!$G$9*J7)/Inputs!$G$12*24*365)</f>
        <v>241482981.15581095</v>
      </c>
      <c r="K8" s="35">
        <f>IF(K$2&gt;Inputs!$G$19,0,(Inputs!$G$9*K7)/Inputs!$G$12*24*365)</f>
        <v>219529982.86891907</v>
      </c>
      <c r="L8" s="35">
        <f>IF(L$2&gt;Inputs!$G$19,0,(Inputs!$G$9*L7)/Inputs!$G$12*24*365)</f>
        <v>224010186.60093778</v>
      </c>
      <c r="M8" s="35">
        <f>IF(M$2&gt;Inputs!$G$19,0,(Inputs!$G$9*M7)/Inputs!$G$12*24*365)</f>
        <v>228581823.06218144</v>
      </c>
      <c r="N8" s="35">
        <f>IF(N$2&gt;Inputs!$G$19,0,(Inputs!$G$9*N7)/Inputs!$G$12*24*365)</f>
        <v>233246758.22671574</v>
      </c>
      <c r="O8" s="35">
        <f>IF(O$2&gt;Inputs!$G$19,0,(Inputs!$G$9*O7)/Inputs!$G$12*24*365)</f>
        <v>238006896.14970997</v>
      </c>
      <c r="P8" s="35">
        <f>IF(P$2&gt;Inputs!$G$19,0,(Inputs!$G$9*P7)/Inputs!$G$12*24*365)</f>
        <v>216369905.59064537</v>
      </c>
      <c r="Q8" s="35">
        <f>IF(Q$2&gt;Inputs!$G$19,0,(Inputs!$G$9*Q7)/Inputs!$G$12*24*365)</f>
        <v>220785617.94963816</v>
      </c>
      <c r="R8" s="35">
        <f>IF(R$2&gt;Inputs!$G$19,0,(Inputs!$G$9*R7)/Inputs!$G$12*24*365)</f>
        <v>225291446.88738587</v>
      </c>
      <c r="S8" s="35">
        <f>IF(S$2&gt;Inputs!$G$19,0,(Inputs!$G$9*S7)/Inputs!$G$12*24*365)</f>
        <v>229889231.5177407</v>
      </c>
      <c r="T8" s="35">
        <f>IF(T$2&gt;Inputs!$G$19,0,(Inputs!$G$9*T7)/Inputs!$G$12*24*365)</f>
        <v>234580848.48749053</v>
      </c>
      <c r="U8" s="35">
        <f>IF(U$2&gt;Inputs!$G$19,0,(Inputs!$G$9*U7)/Inputs!$G$12*24*365)</f>
        <v>213255316.80680954</v>
      </c>
      <c r="V8" s="35">
        <f>IF(V$2&gt;Inputs!$G$19,0,(Inputs!$G$9*V7)/Inputs!$G$12*24*365)</f>
        <v>217607466.12939748</v>
      </c>
      <c r="W8" s="35">
        <f>IF(W$2&gt;Inputs!$G$19,0,(Inputs!$G$9*W7)/Inputs!$G$12*24*365)</f>
        <v>222048434.82591575</v>
      </c>
      <c r="X8" s="35">
        <f>IF(X$2&gt;Inputs!$G$19,0,(Inputs!$G$9*X7)/Inputs!$G$12*24*365)</f>
        <v>226580035.53664881</v>
      </c>
      <c r="Y8" s="35">
        <f>IF(Y$2&gt;Inputs!$G$19,0,(Inputs!$G$9*Y7)/Inputs!$G$12*24*365)</f>
        <v>231204117.89453956</v>
      </c>
      <c r="Z8" s="35">
        <f>IF(Z$2&gt;Inputs!$G$19,0,(Inputs!$G$9*Z7)/Inputs!$G$12*24*365)</f>
        <v>210185561.72230873</v>
      </c>
      <c r="AA8" s="35">
        <f>IF(AA$2&gt;Inputs!$G$19,0,(Inputs!$G$9*AA7)/Inputs!$G$12*24*365)</f>
        <v>0</v>
      </c>
      <c r="AB8" s="35">
        <f>IF(AB$2&gt;Inputs!$G$19,0,(Inputs!$G$9*AB7)/Inputs!$G$12*24*365)</f>
        <v>0</v>
      </c>
      <c r="AC8" s="35">
        <f>IF(AC$2&gt;Inputs!$G$19,0,(Inputs!$G$9*AC7)/Inputs!$G$12*24*365)</f>
        <v>0</v>
      </c>
      <c r="AD8" s="35">
        <f>IF(AD$2&gt;Inputs!$G$19,0,(Inputs!$G$9*AD7)/Inputs!$G$12*24*365)</f>
        <v>0</v>
      </c>
      <c r="AE8" s="35">
        <f>IF(AE$2&gt;Inputs!$G$19,0,(Inputs!$G$9*AE7)/Inputs!$G$12*24*365)</f>
        <v>0</v>
      </c>
      <c r="AF8" s="35">
        <f>IF(AF$2&gt;Inputs!$G$19,0,(Inputs!$G$9*AF7)/Inputs!$G$12*24*365)</f>
        <v>0</v>
      </c>
      <c r="AG8" s="35">
        <f>IF(AG$2&gt;Inputs!$G$19,0,(Inputs!$G$9*AG7)/Inputs!$G$12*24*365)</f>
        <v>0</v>
      </c>
      <c r="AH8" s="35">
        <f>IF(AH$2&gt;Inputs!$G$19,0,(Inputs!$G$9*AH7)/Inputs!$G$12*24*365)</f>
        <v>0</v>
      </c>
      <c r="AI8" s="35">
        <f>IF(AI$2&gt;Inputs!$G$19,0,(Inputs!$G$9*AI7)/Inputs!$G$12*24*365)</f>
        <v>0</v>
      </c>
      <c r="AJ8" s="35">
        <f>IF(AJ$2&gt;Inputs!$G$19,0,(Inputs!$G$9*AJ7)/Inputs!$G$12*24*365)</f>
        <v>0</v>
      </c>
    </row>
    <row r="9" spans="2:36" s="29" customFormat="1" ht="16">
      <c r="B9" s="29" t="s">
        <v>427</v>
      </c>
      <c r="E9" s="79" t="s">
        <v>423</v>
      </c>
      <c r="G9" s="35">
        <f>(Inputs!$G$12/1000000)*'Cash Flow'!G8</f>
        <v>227281.85</v>
      </c>
      <c r="H9" s="35">
        <f>(Inputs!$G$12/1000000)*'Cash Flow'!H8</f>
        <v>231920.25510204083</v>
      </c>
      <c r="I9" s="35">
        <f>(Inputs!$G$12/1000000)*'Cash Flow'!I8</f>
        <v>236653.32153269477</v>
      </c>
      <c r="J9" s="35">
        <f>(Inputs!$G$12/1000000)*'Cash Flow'!J8</f>
        <v>241482.98115581096</v>
      </c>
      <c r="K9" s="35">
        <f>(Inputs!$G$12/1000000)*'Cash Flow'!K8</f>
        <v>219529.98286891909</v>
      </c>
      <c r="L9" s="35">
        <f>(Inputs!$G$12/1000000)*'Cash Flow'!L8</f>
        <v>224010.1866009378</v>
      </c>
      <c r="M9" s="35">
        <f>(Inputs!$G$12/1000000)*'Cash Flow'!M8</f>
        <v>228581.82306218144</v>
      </c>
      <c r="N9" s="35">
        <f>(Inputs!$G$12/1000000)*'Cash Flow'!N8</f>
        <v>233246.75822671576</v>
      </c>
      <c r="O9" s="35">
        <f>(Inputs!$G$12/1000000)*'Cash Flow'!O8</f>
        <v>238006.89614970997</v>
      </c>
      <c r="P9" s="35">
        <f>(Inputs!$G$12/1000000)*'Cash Flow'!P8</f>
        <v>216369.90559064539</v>
      </c>
      <c r="Q9" s="35">
        <f>(Inputs!$G$12/1000000)*'Cash Flow'!Q8</f>
        <v>220785.61794963817</v>
      </c>
      <c r="R9" s="35">
        <f>(Inputs!$G$12/1000000)*'Cash Flow'!R8</f>
        <v>225291.44688738589</v>
      </c>
      <c r="S9" s="35">
        <f>(Inputs!$G$12/1000000)*'Cash Flow'!S8</f>
        <v>229889.2315177407</v>
      </c>
      <c r="T9" s="35">
        <f>(Inputs!$G$12/1000000)*'Cash Flow'!T8</f>
        <v>234580.84848749053</v>
      </c>
      <c r="U9" s="35">
        <f>(Inputs!$G$12/1000000)*'Cash Flow'!U8</f>
        <v>213255.31680680954</v>
      </c>
      <c r="V9" s="35">
        <f>(Inputs!$G$12/1000000)*'Cash Flow'!V8</f>
        <v>217607.46612939748</v>
      </c>
      <c r="W9" s="35">
        <f>(Inputs!$G$12/1000000)*'Cash Flow'!W8</f>
        <v>222048.43482591576</v>
      </c>
      <c r="X9" s="35">
        <f>(Inputs!$G$12/1000000)*'Cash Flow'!X8</f>
        <v>226580.03553664882</v>
      </c>
      <c r="Y9" s="35">
        <f>(Inputs!$G$12/1000000)*'Cash Flow'!Y8</f>
        <v>231204.11789453958</v>
      </c>
      <c r="Z9" s="35">
        <f>(Inputs!$G$12/1000000)*'Cash Flow'!Z8</f>
        <v>210185.56172230872</v>
      </c>
      <c r="AA9" s="35">
        <f>(Inputs!$G$12/1000000)*'Cash Flow'!AA8</f>
        <v>0</v>
      </c>
      <c r="AB9" s="35">
        <f>(Inputs!$G$12/1000000)*'Cash Flow'!AB8</f>
        <v>0</v>
      </c>
      <c r="AC9" s="35">
        <f>(Inputs!$G$12/1000000)*'Cash Flow'!AC8</f>
        <v>0</v>
      </c>
      <c r="AD9" s="35">
        <f>(Inputs!$G$12/1000000)*'Cash Flow'!AD8</f>
        <v>0</v>
      </c>
      <c r="AE9" s="35">
        <f>(Inputs!$G$12/1000000)*'Cash Flow'!AE8</f>
        <v>0</v>
      </c>
      <c r="AF9" s="35">
        <f>(Inputs!$G$12/1000000)*'Cash Flow'!AF8</f>
        <v>0</v>
      </c>
      <c r="AG9" s="35">
        <f>(Inputs!$G$12/1000000)*'Cash Flow'!AG8</f>
        <v>0</v>
      </c>
      <c r="AH9" s="35">
        <f>(Inputs!$G$12/1000000)*'Cash Flow'!AH8</f>
        <v>0</v>
      </c>
      <c r="AI9" s="35">
        <f>(Inputs!$G$12/1000000)*'Cash Flow'!AI8</f>
        <v>0</v>
      </c>
      <c r="AJ9" s="35">
        <f>(Inputs!$G$12/1000000)*'Cash Flow'!AJ8</f>
        <v>0</v>
      </c>
    </row>
    <row r="10" spans="2:36" s="29" customFormat="1" ht="16">
      <c r="B10" s="34" t="s">
        <v>439</v>
      </c>
      <c r="C10" s="34"/>
      <c r="D10" s="34"/>
      <c r="E10" s="79" t="s">
        <v>2</v>
      </c>
      <c r="G10" s="35">
        <f>IF(G$2&gt;Inputs!$G$19,0,((1/(G7/1000000))*G9)*Inputs!$G$14*(1-Inputs!$G$15))</f>
        <v>25898940</v>
      </c>
      <c r="H10" s="35">
        <f>IF(H$2&gt;Inputs!$G$19,0,((1/(H7/1000000))*H9)*Inputs!$G$14*(1-Inputs!$G$15))</f>
        <v>25898940</v>
      </c>
      <c r="I10" s="35">
        <f>IF(I$2&gt;Inputs!$G$19,0,((1/(I7/1000000))*I9)*Inputs!$G$14*(1-Inputs!$G$15))</f>
        <v>25898940.000000004</v>
      </c>
      <c r="J10" s="35">
        <f>IF(J$2&gt;Inputs!$G$19,0,((1/(J7/1000000))*J9)*Inputs!$G$14*(1-Inputs!$G$15))</f>
        <v>25898939.999999996</v>
      </c>
      <c r="K10" s="35">
        <f>IF(K$2&gt;Inputs!$G$19,0,((1/(K7/1000000))*K9)*Inputs!$G$14*(1-Inputs!$G$15))</f>
        <v>25898940.000000004</v>
      </c>
      <c r="L10" s="35">
        <f>IF(L$2&gt;Inputs!$G$19,0,((1/(L7/1000000))*L9)*Inputs!$G$14*(1-Inputs!$G$15))</f>
        <v>25898940</v>
      </c>
      <c r="M10" s="35">
        <f>IF(M$2&gt;Inputs!$G$19,0,((1/(M7/1000000))*M9)*Inputs!$G$14*(1-Inputs!$G$15))</f>
        <v>25898940.000000004</v>
      </c>
      <c r="N10" s="35">
        <f>IF(N$2&gt;Inputs!$G$19,0,((1/(N7/1000000))*N9)*Inputs!$G$14*(1-Inputs!$G$15))</f>
        <v>25898940</v>
      </c>
      <c r="O10" s="35">
        <f>IF(O$2&gt;Inputs!$G$19,0,((1/(O7/1000000))*O9)*Inputs!$G$14*(1-Inputs!$G$15))</f>
        <v>25898939.999999996</v>
      </c>
      <c r="P10" s="35">
        <f>IF(P$2&gt;Inputs!$G$19,0,((1/(P7/1000000))*P9)*Inputs!$G$14*(1-Inputs!$G$15))</f>
        <v>25898940.000000004</v>
      </c>
      <c r="Q10" s="35">
        <f>IF(Q$2&gt;Inputs!$G$19,0,((1/(Q7/1000000))*Q9)*Inputs!$G$14*(1-Inputs!$G$15))</f>
        <v>25898940.000000004</v>
      </c>
      <c r="R10" s="35">
        <f>IF(R$2&gt;Inputs!$G$19,0,((1/(R7/1000000))*R9)*Inputs!$G$14*(1-Inputs!$G$15))</f>
        <v>25898940.000000004</v>
      </c>
      <c r="S10" s="35">
        <f>IF(S$2&gt;Inputs!$G$19,0,((1/(S7/1000000))*S9)*Inputs!$G$14*(1-Inputs!$G$15))</f>
        <v>25898940</v>
      </c>
      <c r="T10" s="35">
        <f>IF(T$2&gt;Inputs!$G$19,0,((1/(T7/1000000))*T9)*Inputs!$G$14*(1-Inputs!$G$15))</f>
        <v>25898940</v>
      </c>
      <c r="U10" s="35">
        <f>IF(U$2&gt;Inputs!$G$19,0,((1/(U7/1000000))*U9)*Inputs!$G$14*(1-Inputs!$G$15))</f>
        <v>25898940.000000004</v>
      </c>
      <c r="V10" s="35">
        <f>IF(V$2&gt;Inputs!$G$19,0,((1/(V7/1000000))*V9)*Inputs!$G$14*(1-Inputs!$G$15))</f>
        <v>25898940.000000004</v>
      </c>
      <c r="W10" s="35">
        <f>IF(W$2&gt;Inputs!$G$19,0,((1/(W7/1000000))*W9)*Inputs!$G$14*(1-Inputs!$G$15))</f>
        <v>25898939.999999996</v>
      </c>
      <c r="X10" s="35">
        <f>IF(X$2&gt;Inputs!$G$19,0,((1/(X7/1000000))*X9)*Inputs!$G$14*(1-Inputs!$G$15))</f>
        <v>25898940.000000004</v>
      </c>
      <c r="Y10" s="35">
        <f>IF(Y$2&gt;Inputs!$G$19,0,((1/(Y7/1000000))*Y9)*Inputs!$G$14*(1-Inputs!$G$15))</f>
        <v>25898940.000000004</v>
      </c>
      <c r="Z10" s="35">
        <f>IF(Z$2&gt;Inputs!$G$19,0,((1/(Z7/1000000))*Z9)*Inputs!$G$14*(1-Inputs!$G$15))</f>
        <v>25898940.000000004</v>
      </c>
      <c r="AA10" s="35">
        <f>IF(AA$2&gt;Inputs!$G$19,0,((1/(AA7/1000000))*AA9)*Inputs!$G$14*(1-Inputs!$G$15))</f>
        <v>0</v>
      </c>
      <c r="AB10" s="35">
        <f>IF(AB$2&gt;Inputs!$G$19,0,((1/(AB7/1000000))*AB9)*Inputs!$G$14*(1-Inputs!$G$15))</f>
        <v>0</v>
      </c>
      <c r="AC10" s="35">
        <f>IF(AC$2&gt;Inputs!$G$19,0,((1/(AC7/1000000))*AC9)*Inputs!$G$14*(1-Inputs!$G$15))</f>
        <v>0</v>
      </c>
      <c r="AD10" s="35">
        <f>IF(AD$2&gt;Inputs!$G$19,0,((1/(AD7/1000000))*AD9)*Inputs!$G$14*(1-Inputs!$G$15))</f>
        <v>0</v>
      </c>
      <c r="AE10" s="35">
        <f>IF(AE$2&gt;Inputs!$G$19,0,((1/(AE7/1000000))*AE9)*Inputs!$G$14*(1-Inputs!$G$15))</f>
        <v>0</v>
      </c>
      <c r="AF10" s="35">
        <f>IF(AF$2&gt;Inputs!$G$19,0,((1/(AF7/1000000))*AF9)*Inputs!$G$14*(1-Inputs!$G$15))</f>
        <v>0</v>
      </c>
      <c r="AG10" s="35">
        <f>IF(AG$2&gt;Inputs!$G$19,0,((1/(AG7/1000000))*AG9)*Inputs!$G$14*(1-Inputs!$G$15))</f>
        <v>0</v>
      </c>
      <c r="AH10" s="35">
        <f>IF(AH$2&gt;Inputs!$G$19,0,((1/(AH7/1000000))*AH9)*Inputs!$G$14*(1-Inputs!$G$15))</f>
        <v>0</v>
      </c>
      <c r="AI10" s="35">
        <f>IF(AI$2&gt;Inputs!$G$19,0,((1/(AI7/1000000))*AI9)*Inputs!$G$14*(1-Inputs!$G$15))</f>
        <v>0</v>
      </c>
      <c r="AJ10" s="35">
        <f>IF(AJ$2&gt;Inputs!$G$19,0,((1/(AJ7/1000000))*AJ9)*Inputs!$G$14*(1-Inputs!$G$15))</f>
        <v>0</v>
      </c>
    </row>
    <row r="11" spans="2:36" s="29" customFormat="1" ht="16">
      <c r="B11" s="34" t="s">
        <v>440</v>
      </c>
      <c r="C11" s="34"/>
      <c r="D11" s="34"/>
      <c r="E11" s="79" t="s">
        <v>441</v>
      </c>
      <c r="G11" s="35">
        <f>IF(G$2&gt;Inputs!$G$19,0,(G10*Inputs!$Q$8)/100000)</f>
        <v>813714.47937000019</v>
      </c>
      <c r="H11" s="35">
        <f>IF(H$2&gt;Inputs!$G$19,0,(H10*Inputs!$Q$8)/100000)</f>
        <v>813714.47937000019</v>
      </c>
      <c r="I11" s="35">
        <f>IF(I$2&gt;Inputs!$G$19,0,(I10*Inputs!$Q$8)/100000)</f>
        <v>813714.47937000019</v>
      </c>
      <c r="J11" s="35">
        <f>IF(J$2&gt;Inputs!$G$19,0,(J10*Inputs!$Q$8)/100000)</f>
        <v>813714.47936999996</v>
      </c>
      <c r="K11" s="35">
        <f>IF(K$2&gt;Inputs!$G$19,0,(K10*Inputs!$Q$8)/100000)</f>
        <v>813714.47937000019</v>
      </c>
      <c r="L11" s="35">
        <f>IF(L$2&gt;Inputs!$G$19,0,(L10*Inputs!$Q$8)/100000)</f>
        <v>813714.47937000019</v>
      </c>
      <c r="M11" s="35">
        <f>IF(M$2&gt;Inputs!$G$19,0,(M10*Inputs!$Q$8)/100000)</f>
        <v>813714.47937000019</v>
      </c>
      <c r="N11" s="35">
        <f>IF(N$2&gt;Inputs!$G$19,0,(N10*Inputs!$Q$8)/100000)</f>
        <v>813714.47937000019</v>
      </c>
      <c r="O11" s="35">
        <f>IF(O$2&gt;Inputs!$G$19,0,(O10*Inputs!$Q$8)/100000)</f>
        <v>813714.47936999996</v>
      </c>
      <c r="P11" s="35">
        <f>IF(P$2&gt;Inputs!$G$19,0,(P10*Inputs!$Q$8)/100000)</f>
        <v>813714.47937000019</v>
      </c>
      <c r="Q11" s="35">
        <f>IF(Q$2&gt;Inputs!$G$19,0,(Q10*Inputs!$Q$8)/100000)</f>
        <v>813714.47937000019</v>
      </c>
      <c r="R11" s="35">
        <f>IF(R$2&gt;Inputs!$G$19,0,(R10*Inputs!$Q$8)/100000)</f>
        <v>813714.47937000019</v>
      </c>
      <c r="S11" s="35">
        <f>IF(S$2&gt;Inputs!$G$19,0,(S10*Inputs!$Q$8)/100000)</f>
        <v>813714.47937000019</v>
      </c>
      <c r="T11" s="35">
        <f>IF(T$2&gt;Inputs!$G$19,0,(T10*Inputs!$Q$8)/100000)</f>
        <v>813714.47937000019</v>
      </c>
      <c r="U11" s="35">
        <f>IF(U$2&gt;Inputs!$G$19,0,(U10*Inputs!$Q$8)/100000)</f>
        <v>813714.47937000019</v>
      </c>
      <c r="V11" s="35">
        <f>IF(V$2&gt;Inputs!$G$19,0,(V10*Inputs!$Q$8)/100000)</f>
        <v>813714.47937000019</v>
      </c>
      <c r="W11" s="35">
        <f>IF(W$2&gt;Inputs!$G$19,0,(W10*Inputs!$Q$8)/100000)</f>
        <v>813714.47936999996</v>
      </c>
      <c r="X11" s="35">
        <f>IF(X$2&gt;Inputs!$G$19,0,(X10*Inputs!$Q$8)/100000)</f>
        <v>813714.47937000019</v>
      </c>
      <c r="Y11" s="35">
        <f>IF(Y$2&gt;Inputs!$G$19,0,(Y10*Inputs!$Q$8)/100000)</f>
        <v>813714.47937000019</v>
      </c>
      <c r="Z11" s="35">
        <f>IF(Z$2&gt;Inputs!$G$19,0,(Z10*Inputs!$Q$8)/100000)</f>
        <v>813714.47937000019</v>
      </c>
      <c r="AA11" s="35">
        <f>IF(AA$2&gt;Inputs!$G$19,0,(AA10*Inputs!$Q$8)/100000)</f>
        <v>0</v>
      </c>
      <c r="AB11" s="35">
        <f>IF(AB$2&gt;Inputs!$G$19,0,(AB10*Inputs!$Q$8)/100000)</f>
        <v>0</v>
      </c>
      <c r="AC11" s="35">
        <f>IF(AC$2&gt;Inputs!$G$19,0,(AC10*Inputs!$Q$8)/100000)</f>
        <v>0</v>
      </c>
      <c r="AD11" s="35">
        <f>IF(AD$2&gt;Inputs!$G$19,0,(AD10*Inputs!$Q$8)/100000)</f>
        <v>0</v>
      </c>
      <c r="AE11" s="35">
        <f>IF(AE$2&gt;Inputs!$G$19,0,(AE10*Inputs!$Q$8)/100000)</f>
        <v>0</v>
      </c>
      <c r="AF11" s="35">
        <f>IF(AF$2&gt;Inputs!$G$19,0,(AF10*Inputs!$Q$8)/100000)</f>
        <v>0</v>
      </c>
      <c r="AG11" s="35">
        <f>IF(AG$2&gt;Inputs!$G$19,0,(AG10*Inputs!$Q$8)/100000)</f>
        <v>0</v>
      </c>
      <c r="AH11" s="35">
        <f>IF(AH$2&gt;Inputs!$G$19,0,(AH10*Inputs!$Q$8)/100000)</f>
        <v>0</v>
      </c>
      <c r="AI11" s="35">
        <f>IF(AI$2&gt;Inputs!$G$19,0,(AI10*Inputs!$Q$8)/100000)</f>
        <v>0</v>
      </c>
      <c r="AJ11" s="35">
        <f>IF(AJ$2&gt;Inputs!$G$19,0,(AJ10*Inputs!$Q$8)/100000)</f>
        <v>0</v>
      </c>
    </row>
    <row r="12" spans="2:36" s="29" customFormat="1" ht="16">
      <c r="B12" s="29" t="s">
        <v>436</v>
      </c>
      <c r="C12" s="34"/>
      <c r="D12" s="34"/>
      <c r="G12" s="320">
        <v>1</v>
      </c>
      <c r="H12" s="743">
        <f>G12*(1+Inputs!$Q$10)</f>
        <v>1.02</v>
      </c>
      <c r="I12" s="743">
        <f>H12*(1+Inputs!$Q$10)</f>
        <v>1.0404</v>
      </c>
      <c r="J12" s="743">
        <f>I12*(1+Inputs!$Q$10)</f>
        <v>1.0612079999999999</v>
      </c>
      <c r="K12" s="743">
        <f>J12*(1+Inputs!$Q$10)</f>
        <v>1.08243216</v>
      </c>
      <c r="L12" s="743">
        <f>K12*(1+Inputs!$Q$10)</f>
        <v>1.1040808032</v>
      </c>
      <c r="M12" s="743">
        <f>L12*(1+Inputs!$Q$10)</f>
        <v>1.1261624192640001</v>
      </c>
      <c r="N12" s="743">
        <f>M12*(1+Inputs!$Q$10)</f>
        <v>1.14868566764928</v>
      </c>
      <c r="O12" s="743">
        <f>N12*(1+Inputs!$Q$10)</f>
        <v>1.1716593810022657</v>
      </c>
      <c r="P12" s="743">
        <f>O12*(1+Inputs!$Q$10)</f>
        <v>1.1950925686223111</v>
      </c>
      <c r="Q12" s="743">
        <f>P12*(1+Inputs!$Q$10)</f>
        <v>1.2189944199947573</v>
      </c>
      <c r="R12" s="743">
        <f>Q12*(1+Inputs!$Q$10)</f>
        <v>1.2433743083946525</v>
      </c>
      <c r="S12" s="743">
        <f>R12*(1+Inputs!$Q$10)</f>
        <v>1.2682417945625455</v>
      </c>
      <c r="T12" s="743">
        <f>S12*(1+Inputs!$Q$10)</f>
        <v>1.2936066304537963</v>
      </c>
      <c r="U12" s="743">
        <f>T12*(1+Inputs!$Q$10)</f>
        <v>1.3194787630628724</v>
      </c>
      <c r="V12" s="743">
        <f>U12*(1+Inputs!$Q$10)</f>
        <v>1.3458683383241299</v>
      </c>
      <c r="W12" s="743">
        <f>V12*(1+Inputs!$Q$10)</f>
        <v>1.3727857050906125</v>
      </c>
      <c r="X12" s="743">
        <f>W12*(1+Inputs!$Q$10)</f>
        <v>1.4002414191924248</v>
      </c>
      <c r="Y12" s="743">
        <f>X12*(1+Inputs!$Q$10)</f>
        <v>1.4282462475762734</v>
      </c>
      <c r="Z12" s="743">
        <f>Y12*(1+Inputs!$Q$10)</f>
        <v>1.4568111725277988</v>
      </c>
      <c r="AA12" s="743">
        <f>Z12*(1+Inputs!$Q$10)</f>
        <v>1.4859473959783549</v>
      </c>
      <c r="AB12" s="743">
        <f>AA12*(1+Inputs!$Q$10)</f>
        <v>1.5156663438979221</v>
      </c>
      <c r="AC12" s="743">
        <f>AB12*(1+Inputs!$Q$10)</f>
        <v>1.5459796707758806</v>
      </c>
      <c r="AD12" s="743">
        <f>AC12*(1+Inputs!$Q$10)</f>
        <v>1.5768992641913981</v>
      </c>
      <c r="AE12" s="743">
        <f>AD12*(1+Inputs!$Q$10)</f>
        <v>1.6084372494752261</v>
      </c>
      <c r="AF12" s="743">
        <f>AE12*(1+Inputs!$Q$10)</f>
        <v>1.6406059944647307</v>
      </c>
      <c r="AG12" s="743">
        <f>AF12*(1+Inputs!$Q$10)</f>
        <v>1.6734181143540252</v>
      </c>
      <c r="AH12" s="743">
        <f>AG12*(1+Inputs!$Q$10)</f>
        <v>1.7068864766411058</v>
      </c>
      <c r="AI12" s="743">
        <f>AH12*(1+Inputs!$Q$10)</f>
        <v>1.7410242061739281</v>
      </c>
      <c r="AJ12" s="743">
        <f>AI12*(1+Inputs!$Q$10)</f>
        <v>1.7758446902974065</v>
      </c>
    </row>
    <row r="13" spans="2:36" s="29" customFormat="1" ht="16">
      <c r="B13" s="34"/>
      <c r="C13" s="34"/>
      <c r="D13" s="34"/>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row>
    <row r="14" spans="2:36" s="29" customFormat="1" ht="16">
      <c r="B14" s="34" t="s">
        <v>99</v>
      </c>
      <c r="C14" s="34"/>
      <c r="D14" s="34"/>
      <c r="E14" s="79"/>
    </row>
    <row r="15" spans="2:36" s="29" customFormat="1" ht="16">
      <c r="B15" s="29" t="s">
        <v>101</v>
      </c>
      <c r="E15" s="79"/>
      <c r="G15" s="320">
        <v>1</v>
      </c>
      <c r="H15" s="33">
        <f>G15*(1+(Inputs!$Q$15*Inputs!$Q$14))</f>
        <v>1</v>
      </c>
      <c r="I15" s="33">
        <f>H15*(1+(Inputs!$Q$15*Inputs!$Q$14))</f>
        <v>1</v>
      </c>
      <c r="J15" s="33">
        <f>I15*(1+(Inputs!$Q$15*Inputs!$Q$14))</f>
        <v>1</v>
      </c>
      <c r="K15" s="33">
        <f>J15*(1+(Inputs!$Q$15*Inputs!$Q$14))</f>
        <v>1</v>
      </c>
      <c r="L15" s="33">
        <f>K15*(1+(Inputs!$Q$15*Inputs!$Q$14))</f>
        <v>1</v>
      </c>
      <c r="M15" s="33">
        <f>L15*(1+(Inputs!$Q$15*Inputs!$Q$14))</f>
        <v>1</v>
      </c>
      <c r="N15" s="33">
        <f>M15*(1+(Inputs!$Q$15*Inputs!$Q$14))</f>
        <v>1</v>
      </c>
      <c r="O15" s="33">
        <f>N15*(1+(Inputs!$Q$15*Inputs!$Q$14))</f>
        <v>1</v>
      </c>
      <c r="P15" s="33">
        <f>O15*(1+(Inputs!$Q$15*Inputs!$Q$14))</f>
        <v>1</v>
      </c>
      <c r="Q15" s="33">
        <f>P15*(1+(Inputs!$Q$15*Inputs!$Q$14))</f>
        <v>1</v>
      </c>
      <c r="R15" s="33">
        <f>Q15*(1+(Inputs!$Q$15*Inputs!$Q$14))</f>
        <v>1</v>
      </c>
      <c r="S15" s="33">
        <f>R15*(1+(Inputs!$Q$15*Inputs!$Q$14))</f>
        <v>1</v>
      </c>
      <c r="T15" s="33">
        <f>S15*(1+(Inputs!$Q$15*Inputs!$Q$14))</f>
        <v>1</v>
      </c>
      <c r="U15" s="33">
        <f>T15*(1+(Inputs!$Q$15*Inputs!$Q$14))</f>
        <v>1</v>
      </c>
      <c r="V15" s="33">
        <f>U15*(1+(Inputs!$Q$15*Inputs!$Q$14))</f>
        <v>1</v>
      </c>
      <c r="W15" s="33">
        <f>V15*(1+(Inputs!$Q$15*Inputs!$Q$14))</f>
        <v>1</v>
      </c>
      <c r="X15" s="33">
        <f>W15*(1+(Inputs!$Q$15*Inputs!$Q$14))</f>
        <v>1</v>
      </c>
      <c r="Y15" s="33">
        <f>X15*(1+(Inputs!$Q$15*Inputs!$Q$14))</f>
        <v>1</v>
      </c>
      <c r="Z15" s="33">
        <f>Y15*(1+(Inputs!$Q$15*Inputs!$Q$14))</f>
        <v>1</v>
      </c>
      <c r="AA15" s="33">
        <f>Z15*(1+(Inputs!$Q$15*Inputs!$Q$14))</f>
        <v>1</v>
      </c>
      <c r="AB15" s="33">
        <f>AA15*(1+(Inputs!$Q$15*Inputs!$Q$14))</f>
        <v>1</v>
      </c>
      <c r="AC15" s="33">
        <f>AB15*(1+(Inputs!$Q$15*Inputs!$Q$14))</f>
        <v>1</v>
      </c>
      <c r="AD15" s="33">
        <f>AC15*(1+(Inputs!$Q$15*Inputs!$Q$14))</f>
        <v>1</v>
      </c>
      <c r="AE15" s="33">
        <f>AD15*(1+(Inputs!$Q$15*Inputs!$Q$14))</f>
        <v>1</v>
      </c>
      <c r="AF15" s="33">
        <f>AE15*(1+(Inputs!$Q$15*Inputs!$Q$14))</f>
        <v>1</v>
      </c>
      <c r="AG15" s="33">
        <f>AF15*(1+(Inputs!$Q$15*Inputs!$Q$14))</f>
        <v>1</v>
      </c>
      <c r="AH15" s="33">
        <f>AG15*(1+(Inputs!$Q$15*Inputs!$Q$14))</f>
        <v>1</v>
      </c>
      <c r="AI15" s="33">
        <f>AH15*(1+(Inputs!$Q$15*Inputs!$Q$14))</f>
        <v>1</v>
      </c>
      <c r="AJ15" s="33">
        <f>AI15*(1+(Inputs!$Q$15*Inputs!$Q$14))</f>
        <v>1</v>
      </c>
    </row>
    <row r="16" spans="2:36" s="29" customFormat="1" ht="16">
      <c r="B16" s="29" t="s">
        <v>142</v>
      </c>
      <c r="E16" s="79"/>
      <c r="G16" s="320">
        <v>1</v>
      </c>
      <c r="H16" s="33">
        <f>G16*(1+Inputs!$Q$33)</f>
        <v>1.02</v>
      </c>
      <c r="I16" s="33">
        <f>H16*(1+Inputs!$Q$33)</f>
        <v>1.0404</v>
      </c>
      <c r="J16" s="33">
        <f>I16*(1+Inputs!$Q$33)</f>
        <v>1.0612079999999999</v>
      </c>
      <c r="K16" s="33">
        <f>J16*(1+Inputs!$Q$33)</f>
        <v>1.08243216</v>
      </c>
      <c r="L16" s="33">
        <f>K16*(1+Inputs!$Q$33)</f>
        <v>1.1040808032</v>
      </c>
      <c r="M16" s="33">
        <f>L16*(1+Inputs!$Q$33)</f>
        <v>1.1261624192640001</v>
      </c>
      <c r="N16" s="33">
        <f>M16*(1+Inputs!$Q$33)</f>
        <v>1.14868566764928</v>
      </c>
      <c r="O16" s="33">
        <f>N16*(1+Inputs!$Q$33)</f>
        <v>1.1716593810022657</v>
      </c>
      <c r="P16" s="33">
        <f>O16*(1+Inputs!$Q$33)</f>
        <v>1.1950925686223111</v>
      </c>
      <c r="Q16" s="33">
        <f>P16*(1+Inputs!$Q$33)</f>
        <v>1.2189944199947573</v>
      </c>
      <c r="R16" s="33">
        <f>Q16*(1+Inputs!$Q$33)</f>
        <v>1.2433743083946525</v>
      </c>
      <c r="S16" s="33">
        <f>R16*(1+Inputs!$Q$33)</f>
        <v>1.2682417945625455</v>
      </c>
      <c r="T16" s="33">
        <f>S16*(1+Inputs!$Q$33)</f>
        <v>1.2936066304537963</v>
      </c>
      <c r="U16" s="33">
        <f>T16*(1+Inputs!$Q$33)</f>
        <v>1.3194787630628724</v>
      </c>
      <c r="V16" s="33">
        <f>U16*(1+Inputs!$Q$33)</f>
        <v>1.3458683383241299</v>
      </c>
      <c r="W16" s="33">
        <f>V16*(1+Inputs!$Q$33)</f>
        <v>1.3727857050906125</v>
      </c>
      <c r="X16" s="33">
        <f>W16*(1+Inputs!$Q$33)</f>
        <v>1.4002414191924248</v>
      </c>
      <c r="Y16" s="33">
        <f>X16*(1+Inputs!$Q$33)</f>
        <v>1.4282462475762734</v>
      </c>
      <c r="Z16" s="33">
        <f>Y16*(1+Inputs!$Q$33)</f>
        <v>1.4568111725277988</v>
      </c>
      <c r="AA16" s="33">
        <f>Z16*(1+Inputs!$Q$33)</f>
        <v>1.4859473959783549</v>
      </c>
      <c r="AB16" s="33">
        <f>AA16*(1+Inputs!$Q$33)</f>
        <v>1.5156663438979221</v>
      </c>
      <c r="AC16" s="33">
        <f>AB16*(1+Inputs!$Q$33)</f>
        <v>1.5459796707758806</v>
      </c>
      <c r="AD16" s="33">
        <f>AC16*(1+Inputs!$Q$33)</f>
        <v>1.5768992641913981</v>
      </c>
      <c r="AE16" s="33">
        <f>AD16*(1+Inputs!$Q$33)</f>
        <v>1.6084372494752261</v>
      </c>
      <c r="AF16" s="33">
        <f>AE16*(1+Inputs!$Q$33)</f>
        <v>1.6406059944647307</v>
      </c>
      <c r="AG16" s="33">
        <f>AF16*(1+Inputs!$Q$33)</f>
        <v>1.6734181143540252</v>
      </c>
      <c r="AH16" s="33">
        <f>AG16*(1+Inputs!$Q$33)</f>
        <v>1.7068864766411058</v>
      </c>
      <c r="AI16" s="33">
        <f>AH16*(1+Inputs!$Q$33)</f>
        <v>1.7410242061739281</v>
      </c>
      <c r="AJ16" s="33">
        <f>AI16*(1+Inputs!$Q$33)</f>
        <v>1.7758446902974065</v>
      </c>
    </row>
    <row r="17" spans="2:36" s="29" customFormat="1" ht="16">
      <c r="B17" s="29" t="s">
        <v>143</v>
      </c>
      <c r="E17" s="79"/>
      <c r="G17" s="320">
        <v>1</v>
      </c>
      <c r="H17" s="33">
        <f>G17*(1+Inputs!$Q$49)</f>
        <v>1.02</v>
      </c>
      <c r="I17" s="33">
        <f>H17*(1+Inputs!$Q$49)</f>
        <v>1.0404</v>
      </c>
      <c r="J17" s="33">
        <f>I17*(1+Inputs!$Q$49)</f>
        <v>1.0612079999999999</v>
      </c>
      <c r="K17" s="33">
        <f>J17*(1+Inputs!$Q$49)</f>
        <v>1.08243216</v>
      </c>
      <c r="L17" s="33">
        <f>K17*(1+Inputs!$Q$49)</f>
        <v>1.1040808032</v>
      </c>
      <c r="M17" s="33">
        <f>L17*(1+Inputs!$Q$49)</f>
        <v>1.1261624192640001</v>
      </c>
      <c r="N17" s="33">
        <f>M17*(1+Inputs!$Q$49)</f>
        <v>1.14868566764928</v>
      </c>
      <c r="O17" s="33">
        <f>N17*(1+Inputs!$Q$49)</f>
        <v>1.1716593810022657</v>
      </c>
      <c r="P17" s="33">
        <f>O17*(1+Inputs!$Q$49)</f>
        <v>1.1950925686223111</v>
      </c>
      <c r="Q17" s="33">
        <f>P17*(1+Inputs!$Q$49)</f>
        <v>1.2189944199947573</v>
      </c>
      <c r="R17" s="33">
        <f>Q17*(1+Inputs!$Q$49)</f>
        <v>1.2433743083946525</v>
      </c>
      <c r="S17" s="33">
        <f>R17*(1+Inputs!$Q$49)</f>
        <v>1.2682417945625455</v>
      </c>
      <c r="T17" s="33">
        <f>S17*(1+Inputs!$Q$49)</f>
        <v>1.2936066304537963</v>
      </c>
      <c r="U17" s="33">
        <f>T17*(1+Inputs!$Q$49)</f>
        <v>1.3194787630628724</v>
      </c>
      <c r="V17" s="33">
        <f>U17*(1+Inputs!$Q$49)</f>
        <v>1.3458683383241299</v>
      </c>
      <c r="W17" s="33">
        <f>V17*(1+Inputs!$Q$49)</f>
        <v>1.3727857050906125</v>
      </c>
      <c r="X17" s="33">
        <f>W17*(1+Inputs!$Q$49)</f>
        <v>1.4002414191924248</v>
      </c>
      <c r="Y17" s="33">
        <f>X17*(1+Inputs!$Q$49)</f>
        <v>1.4282462475762734</v>
      </c>
      <c r="Z17" s="33">
        <f>Y17*(1+Inputs!$Q$49)</f>
        <v>1.4568111725277988</v>
      </c>
      <c r="AA17" s="33">
        <f>Z17*(1+Inputs!$Q$49)</f>
        <v>1.4859473959783549</v>
      </c>
      <c r="AB17" s="33">
        <f>AA17*(1+Inputs!$Q$49)</f>
        <v>1.5156663438979221</v>
      </c>
      <c r="AC17" s="33">
        <f>AB17*(1+Inputs!$Q$49)</f>
        <v>1.5459796707758806</v>
      </c>
      <c r="AD17" s="33">
        <f>AC17*(1+Inputs!$Q$49)</f>
        <v>1.5768992641913981</v>
      </c>
      <c r="AE17" s="33">
        <f>AD17*(1+Inputs!$Q$49)</f>
        <v>1.6084372494752261</v>
      </c>
      <c r="AF17" s="33">
        <f>AE17*(1+Inputs!$Q$49)</f>
        <v>1.6406059944647307</v>
      </c>
      <c r="AG17" s="33">
        <f>AF17*(1+Inputs!$Q$49)</f>
        <v>1.6734181143540252</v>
      </c>
      <c r="AH17" s="33">
        <f>AG17*(1+Inputs!$Q$49)</f>
        <v>1.7068864766411058</v>
      </c>
      <c r="AI17" s="33">
        <f>AH17*(1+Inputs!$Q$49)</f>
        <v>1.7410242061739281</v>
      </c>
      <c r="AJ17" s="33">
        <f>AI17*(1+Inputs!$Q$49)</f>
        <v>1.7758446902974065</v>
      </c>
    </row>
    <row r="18" spans="2:36" s="29" customFormat="1" ht="16">
      <c r="E18" s="79"/>
      <c r="F18" s="79"/>
      <c r="G18" s="88"/>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row>
    <row r="19" spans="2:36" s="29" customFormat="1" ht="16">
      <c r="B19" s="36" t="s">
        <v>253</v>
      </c>
      <c r="C19" s="36"/>
      <c r="D19" s="36"/>
      <c r="E19" s="79" t="s">
        <v>52</v>
      </c>
      <c r="F19" s="384">
        <f>1-F20</f>
        <v>1</v>
      </c>
      <c r="G19" s="90">
        <f>$G$82*$F19</f>
        <v>12.849999999999998</v>
      </c>
      <c r="H19" s="90">
        <f>IF(H2&gt;Inputs!$Q$13,0,G19)</f>
        <v>12.849999999999998</v>
      </c>
      <c r="I19" s="90">
        <f>IF(I2&gt;Inputs!$Q$13,0,H19)</f>
        <v>12.849999999999998</v>
      </c>
      <c r="J19" s="90">
        <f>IF(J2&gt;Inputs!$Q$13,0,I19)</f>
        <v>12.849999999999998</v>
      </c>
      <c r="K19" s="90">
        <f>IF(K2&gt;Inputs!$Q$13,0,J19)</f>
        <v>12.849999999999998</v>
      </c>
      <c r="L19" s="90">
        <f>IF(L2&gt;Inputs!$Q$13,0,K19)</f>
        <v>12.849999999999998</v>
      </c>
      <c r="M19" s="90">
        <f>IF(M2&gt;Inputs!$Q$13,0,L19)</f>
        <v>12.849999999999998</v>
      </c>
      <c r="N19" s="90">
        <f>IF(N2&gt;Inputs!$Q$13,0,M19)</f>
        <v>12.849999999999998</v>
      </c>
      <c r="O19" s="90">
        <f>IF(O2&gt;Inputs!$Q$13,0,N19)</f>
        <v>12.849999999999998</v>
      </c>
      <c r="P19" s="90">
        <f>IF(P2&gt;Inputs!$Q$13,0,O19)</f>
        <v>12.849999999999998</v>
      </c>
      <c r="Q19" s="90">
        <f>IF(Q2&gt;Inputs!$Q$13,0,P19)</f>
        <v>12.849999999999998</v>
      </c>
      <c r="R19" s="90">
        <f>IF(R2&gt;Inputs!$Q$13,0,Q19)</f>
        <v>12.849999999999998</v>
      </c>
      <c r="S19" s="90">
        <f>IF(S2&gt;Inputs!$Q$13,0,R19)</f>
        <v>12.849999999999998</v>
      </c>
      <c r="T19" s="90">
        <f>IF(T2&gt;Inputs!$Q$13,0,S19)</f>
        <v>12.849999999999998</v>
      </c>
      <c r="U19" s="90">
        <f>IF(U2&gt;Inputs!$Q$13,0,T19)</f>
        <v>12.849999999999998</v>
      </c>
      <c r="V19" s="90">
        <f>IF(V2&gt;Inputs!$Q$13,0,U19)</f>
        <v>12.849999999999998</v>
      </c>
      <c r="W19" s="90">
        <f>IF(W2&gt;Inputs!$Q$13,0,V19)</f>
        <v>12.849999999999998</v>
      </c>
      <c r="X19" s="90">
        <f>IF(X2&gt;Inputs!$Q$13,0,W19)</f>
        <v>12.849999999999998</v>
      </c>
      <c r="Y19" s="90">
        <f>IF(Y2&gt;Inputs!$Q$13,0,X19)</f>
        <v>12.849999999999998</v>
      </c>
      <c r="Z19" s="90">
        <f>IF(Z2&gt;Inputs!$Q$13,0,Y19)</f>
        <v>12.849999999999998</v>
      </c>
      <c r="AA19" s="90">
        <f>IF(AA2&gt;Inputs!$Q$13,0,Z19)</f>
        <v>0</v>
      </c>
      <c r="AB19" s="90">
        <f>IF(AB2&gt;Inputs!$Q$13,0,AA19)</f>
        <v>0</v>
      </c>
      <c r="AC19" s="90">
        <f>IF(AC2&gt;Inputs!$Q$13,0,AB19)</f>
        <v>0</v>
      </c>
      <c r="AD19" s="90">
        <f>IF(AD2&gt;Inputs!$Q$13,0,AC19)</f>
        <v>0</v>
      </c>
      <c r="AE19" s="90">
        <f>IF(AE2&gt;Inputs!$Q$13,0,AD19)</f>
        <v>0</v>
      </c>
      <c r="AF19" s="90">
        <f>IF(AF2&gt;Inputs!$Q$13,0,AE19)</f>
        <v>0</v>
      </c>
      <c r="AG19" s="90">
        <f>IF(AG2&gt;Inputs!$Q$13,0,AF19)</f>
        <v>0</v>
      </c>
      <c r="AH19" s="90">
        <f>IF(AH2&gt;Inputs!$Q$13,0,AG19)</f>
        <v>0</v>
      </c>
      <c r="AI19" s="90">
        <f>IF(AI2&gt;Inputs!$Q$13,0,AH19)</f>
        <v>0</v>
      </c>
      <c r="AJ19" s="90">
        <f>IF(AJ2&gt;Inputs!$Q$13,0,AI19)</f>
        <v>0</v>
      </c>
    </row>
    <row r="20" spans="2:36" s="29" customFormat="1" ht="16">
      <c r="B20" s="385" t="s">
        <v>255</v>
      </c>
      <c r="C20" s="385"/>
      <c r="D20" s="385"/>
      <c r="E20" s="79" t="s">
        <v>52</v>
      </c>
      <c r="F20" s="383">
        <f>Inputs!Q14</f>
        <v>0</v>
      </c>
      <c r="G20" s="386">
        <f>$G$82*$F20</f>
        <v>0</v>
      </c>
      <c r="H20" s="386">
        <f>IF(H2&gt;Inputs!$Q$13,0,G20*(1+Inputs!$Q$15))</f>
        <v>0</v>
      </c>
      <c r="I20" s="386">
        <f>IF(I2&gt;Inputs!$Q$13,0,H20*(1+Inputs!$Q$15))</f>
        <v>0</v>
      </c>
      <c r="J20" s="386">
        <f>IF(J2&gt;Inputs!$Q$13,0,I20*(1+Inputs!$Q$15))</f>
        <v>0</v>
      </c>
      <c r="K20" s="386">
        <f>IF(K2&gt;Inputs!$Q$13,0,J20*(1+Inputs!$Q$15))</f>
        <v>0</v>
      </c>
      <c r="L20" s="386">
        <f>IF(L2&gt;Inputs!$Q$13,0,K20*(1+Inputs!$Q$15))</f>
        <v>0</v>
      </c>
      <c r="M20" s="386">
        <f>IF(M2&gt;Inputs!$Q$13,0,L20*(1+Inputs!$Q$15))</f>
        <v>0</v>
      </c>
      <c r="N20" s="386">
        <f>IF(N2&gt;Inputs!$Q$13,0,M20*(1+Inputs!$Q$15))</f>
        <v>0</v>
      </c>
      <c r="O20" s="386">
        <f>IF(O2&gt;Inputs!$Q$13,0,N20*(1+Inputs!$Q$15))</f>
        <v>0</v>
      </c>
      <c r="P20" s="386">
        <f>IF(P2&gt;Inputs!$Q$13,0,O20*(1+Inputs!$Q$15))</f>
        <v>0</v>
      </c>
      <c r="Q20" s="386">
        <f>IF(Q2&gt;Inputs!$Q$13,0,P20*(1+Inputs!$Q$15))</f>
        <v>0</v>
      </c>
      <c r="R20" s="386">
        <f>IF(R2&gt;Inputs!$Q$13,0,Q20*(1+Inputs!$Q$15))</f>
        <v>0</v>
      </c>
      <c r="S20" s="386">
        <f>IF(S2&gt;Inputs!$Q$13,0,R20*(1+Inputs!$Q$15))</f>
        <v>0</v>
      </c>
      <c r="T20" s="386">
        <f>IF(T2&gt;Inputs!$Q$13,0,S20*(1+Inputs!$Q$15))</f>
        <v>0</v>
      </c>
      <c r="U20" s="386">
        <f>IF(U2&gt;Inputs!$Q$13,0,T20*(1+Inputs!$Q$15))</f>
        <v>0</v>
      </c>
      <c r="V20" s="386">
        <f>IF(V2&gt;Inputs!$Q$13,0,U20*(1+Inputs!$Q$15))</f>
        <v>0</v>
      </c>
      <c r="W20" s="386">
        <f>IF(W2&gt;Inputs!$Q$13,0,V20*(1+Inputs!$Q$15))</f>
        <v>0</v>
      </c>
      <c r="X20" s="386">
        <f>IF(X2&gt;Inputs!$Q$13,0,W20*(1+Inputs!$Q$15))</f>
        <v>0</v>
      </c>
      <c r="Y20" s="386">
        <f>IF(Y2&gt;Inputs!$Q$13,0,X20*(1+Inputs!$Q$15))</f>
        <v>0</v>
      </c>
      <c r="Z20" s="386">
        <f>IF(Z2&gt;Inputs!$Q$13,0,Y20*(1+Inputs!$Q$15))</f>
        <v>0</v>
      </c>
      <c r="AA20" s="386">
        <f>IF(AA2&gt;Inputs!$Q$13,0,Z20*(1+Inputs!$Q$15))</f>
        <v>0</v>
      </c>
      <c r="AB20" s="386">
        <f>IF(AB2&gt;Inputs!$Q$13,0,AA20*(1+Inputs!$Q$15))</f>
        <v>0</v>
      </c>
      <c r="AC20" s="386">
        <f>IF(AC2&gt;Inputs!$Q$13,0,AB20*(1+Inputs!$Q$15))</f>
        <v>0</v>
      </c>
      <c r="AD20" s="386">
        <f>IF(AD2&gt;Inputs!$Q$13,0,AC20*(1+Inputs!$Q$15))</f>
        <v>0</v>
      </c>
      <c r="AE20" s="386">
        <f>IF(AE2&gt;Inputs!$Q$13,0,AD20*(1+Inputs!$Q$15))</f>
        <v>0</v>
      </c>
      <c r="AF20" s="386">
        <f>IF(AF2&gt;Inputs!$Q$13,0,AE20*(1+Inputs!$Q$15))</f>
        <v>0</v>
      </c>
      <c r="AG20" s="386">
        <f>IF(AG2&gt;Inputs!$Q$13,0,AF20*(1+Inputs!$Q$15))</f>
        <v>0</v>
      </c>
      <c r="AH20" s="386">
        <f>IF(AH2&gt;Inputs!$Q$13,0,AG20*(1+Inputs!$Q$15))</f>
        <v>0</v>
      </c>
      <c r="AI20" s="386">
        <f>IF(AI2&gt;Inputs!$Q$13,0,AH20*(1+Inputs!$Q$15))</f>
        <v>0</v>
      </c>
      <c r="AJ20" s="386">
        <f>IF(AJ2&gt;Inputs!$Q$13,0,AI20*(1+Inputs!$Q$15))</f>
        <v>0</v>
      </c>
    </row>
    <row r="21" spans="2:36" s="29" customFormat="1" ht="16">
      <c r="B21" s="36" t="s">
        <v>254</v>
      </c>
      <c r="C21" s="36"/>
      <c r="D21" s="36"/>
      <c r="E21" s="79" t="s">
        <v>52</v>
      </c>
      <c r="F21" s="92"/>
      <c r="G21" s="90">
        <f>SUM(G19:G20)</f>
        <v>12.849999999999998</v>
      </c>
      <c r="H21" s="90">
        <f t="shared" ref="H21:AJ21" si="2">SUM(H19:H20)</f>
        <v>12.849999999999998</v>
      </c>
      <c r="I21" s="90">
        <f t="shared" si="2"/>
        <v>12.849999999999998</v>
      </c>
      <c r="J21" s="90">
        <f t="shared" si="2"/>
        <v>12.849999999999998</v>
      </c>
      <c r="K21" s="90">
        <f t="shared" si="2"/>
        <v>12.849999999999998</v>
      </c>
      <c r="L21" s="90">
        <f t="shared" si="2"/>
        <v>12.849999999999998</v>
      </c>
      <c r="M21" s="90">
        <f t="shared" si="2"/>
        <v>12.849999999999998</v>
      </c>
      <c r="N21" s="90">
        <f t="shared" si="2"/>
        <v>12.849999999999998</v>
      </c>
      <c r="O21" s="90">
        <f t="shared" si="2"/>
        <v>12.849999999999998</v>
      </c>
      <c r="P21" s="90">
        <f t="shared" si="2"/>
        <v>12.849999999999998</v>
      </c>
      <c r="Q21" s="90">
        <f t="shared" si="2"/>
        <v>12.849999999999998</v>
      </c>
      <c r="R21" s="90">
        <f t="shared" si="2"/>
        <v>12.849999999999998</v>
      </c>
      <c r="S21" s="90">
        <f t="shared" si="2"/>
        <v>12.849999999999998</v>
      </c>
      <c r="T21" s="90">
        <f t="shared" si="2"/>
        <v>12.849999999999998</v>
      </c>
      <c r="U21" s="90">
        <f t="shared" si="2"/>
        <v>12.849999999999998</v>
      </c>
      <c r="V21" s="90">
        <f t="shared" si="2"/>
        <v>12.849999999999998</v>
      </c>
      <c r="W21" s="90">
        <f t="shared" si="2"/>
        <v>12.849999999999998</v>
      </c>
      <c r="X21" s="90">
        <f t="shared" si="2"/>
        <v>12.849999999999998</v>
      </c>
      <c r="Y21" s="90">
        <f t="shared" si="2"/>
        <v>12.849999999999998</v>
      </c>
      <c r="Z21" s="90">
        <f t="shared" si="2"/>
        <v>12.849999999999998</v>
      </c>
      <c r="AA21" s="90">
        <f t="shared" si="2"/>
        <v>0</v>
      </c>
      <c r="AB21" s="90">
        <f t="shared" si="2"/>
        <v>0</v>
      </c>
      <c r="AC21" s="90">
        <f t="shared" si="2"/>
        <v>0</v>
      </c>
      <c r="AD21" s="90">
        <f t="shared" si="2"/>
        <v>0</v>
      </c>
      <c r="AE21" s="90">
        <f t="shared" si="2"/>
        <v>0</v>
      </c>
      <c r="AF21" s="90">
        <f t="shared" si="2"/>
        <v>0</v>
      </c>
      <c r="AG21" s="90">
        <f t="shared" si="2"/>
        <v>0</v>
      </c>
      <c r="AH21" s="90">
        <f t="shared" si="2"/>
        <v>0</v>
      </c>
      <c r="AI21" s="90">
        <f t="shared" si="2"/>
        <v>0</v>
      </c>
      <c r="AJ21" s="90">
        <f t="shared" si="2"/>
        <v>0</v>
      </c>
    </row>
    <row r="22" spans="2:36" s="29" customFormat="1" ht="16">
      <c r="B22" s="36" t="s">
        <v>102</v>
      </c>
      <c r="C22" s="36"/>
      <c r="D22" s="36"/>
      <c r="E22" s="76" t="s">
        <v>0</v>
      </c>
      <c r="F22" s="36"/>
      <c r="G22" s="37">
        <f t="shared" ref="G22:AJ22" si="3">(G$21*G$10)/100</f>
        <v>3328013.7899999996</v>
      </c>
      <c r="H22" s="37">
        <f t="shared" si="3"/>
        <v>3328013.7899999996</v>
      </c>
      <c r="I22" s="37">
        <f t="shared" si="3"/>
        <v>3328013.79</v>
      </c>
      <c r="J22" s="37">
        <f t="shared" si="3"/>
        <v>3328013.7899999986</v>
      </c>
      <c r="K22" s="37">
        <f t="shared" si="3"/>
        <v>3328013.79</v>
      </c>
      <c r="L22" s="37">
        <f t="shared" si="3"/>
        <v>3328013.7899999996</v>
      </c>
      <c r="M22" s="37">
        <f t="shared" si="3"/>
        <v>3328013.79</v>
      </c>
      <c r="N22" s="37">
        <f t="shared" si="3"/>
        <v>3328013.7899999996</v>
      </c>
      <c r="O22" s="37">
        <f t="shared" si="3"/>
        <v>3328013.7899999986</v>
      </c>
      <c r="P22" s="37">
        <f t="shared" si="3"/>
        <v>3328013.79</v>
      </c>
      <c r="Q22" s="37">
        <f t="shared" si="3"/>
        <v>3328013.79</v>
      </c>
      <c r="R22" s="37">
        <f t="shared" si="3"/>
        <v>3328013.79</v>
      </c>
      <c r="S22" s="37">
        <f t="shared" si="3"/>
        <v>3328013.7899999996</v>
      </c>
      <c r="T22" s="37">
        <f t="shared" si="3"/>
        <v>3328013.7899999996</v>
      </c>
      <c r="U22" s="37">
        <f t="shared" si="3"/>
        <v>3328013.79</v>
      </c>
      <c r="V22" s="37">
        <f t="shared" si="3"/>
        <v>3328013.79</v>
      </c>
      <c r="W22" s="37">
        <f t="shared" si="3"/>
        <v>3328013.7899999986</v>
      </c>
      <c r="X22" s="37">
        <f t="shared" si="3"/>
        <v>3328013.79</v>
      </c>
      <c r="Y22" s="37">
        <f t="shared" si="3"/>
        <v>3328013.79</v>
      </c>
      <c r="Z22" s="37">
        <f t="shared" si="3"/>
        <v>3328013.79</v>
      </c>
      <c r="AA22" s="37">
        <f t="shared" si="3"/>
        <v>0</v>
      </c>
      <c r="AB22" s="37">
        <f t="shared" si="3"/>
        <v>0</v>
      </c>
      <c r="AC22" s="37">
        <f t="shared" si="3"/>
        <v>0</v>
      </c>
      <c r="AD22" s="37">
        <f t="shared" si="3"/>
        <v>0</v>
      </c>
      <c r="AE22" s="37">
        <f t="shared" si="3"/>
        <v>0</v>
      </c>
      <c r="AF22" s="37">
        <f t="shared" si="3"/>
        <v>0</v>
      </c>
      <c r="AG22" s="37">
        <f t="shared" si="3"/>
        <v>0</v>
      </c>
      <c r="AH22" s="37">
        <f t="shared" si="3"/>
        <v>0</v>
      </c>
      <c r="AI22" s="37">
        <f t="shared" si="3"/>
        <v>0</v>
      </c>
      <c r="AJ22" s="37">
        <f t="shared" si="3"/>
        <v>0</v>
      </c>
    </row>
    <row r="23" spans="2:36" s="29" customFormat="1" ht="16">
      <c r="B23" s="36" t="s">
        <v>215</v>
      </c>
      <c r="C23" s="36"/>
      <c r="D23" s="36"/>
      <c r="E23" s="79" t="s">
        <v>52</v>
      </c>
      <c r="F23" s="36"/>
      <c r="G23" s="90">
        <f>IF(Inputs!$Q$13=Inputs!$G$19,0,IF(Inputs!$Q$18="Year One",Inputs!$Q$19,'Complex Inputs'!$D129))</f>
        <v>0</v>
      </c>
      <c r="H23" s="90">
        <f>IF(H$2&gt;Inputs!$G$19,0,IF(Inputs!$Q$18="Year One",G$23*(1+Inputs!$Q$20),'Complex Inputs'!$D130))</f>
        <v>0</v>
      </c>
      <c r="I23" s="90">
        <f>IF(I$2&gt;Inputs!$G$19,0,IF(Inputs!$Q$18="Year One",H$23*(1+Inputs!$Q$20),'Complex Inputs'!$D131))</f>
        <v>0</v>
      </c>
      <c r="J23" s="90">
        <f>IF(J$2&gt;Inputs!$G$19,0,IF(Inputs!$Q$18="Year One",I$23*(1+Inputs!$Q$20),'Complex Inputs'!$D132))</f>
        <v>0</v>
      </c>
      <c r="K23" s="90">
        <f>IF(K$2&gt;Inputs!$G$19,0,IF(Inputs!$Q$18="Year One",J$23*(1+Inputs!$Q$20),'Complex Inputs'!$D133))</f>
        <v>0</v>
      </c>
      <c r="L23" s="90">
        <f>IF(L$2&gt;Inputs!$G$19,0,IF(Inputs!$Q$18="Year One",K$23*(1+Inputs!$Q$20),'Complex Inputs'!$D134))</f>
        <v>0</v>
      </c>
      <c r="M23" s="90">
        <f>IF(M$2&gt;Inputs!$G$19,0,IF(Inputs!$Q$18="Year One",L$23*(1+Inputs!$Q$20),'Complex Inputs'!$D135))</f>
        <v>0</v>
      </c>
      <c r="N23" s="90">
        <f>IF(N$2&gt;Inputs!$G$19,0,IF(Inputs!$Q$18="Year One",M$23*(1+Inputs!$Q$20),'Complex Inputs'!$D136))</f>
        <v>0</v>
      </c>
      <c r="O23" s="90">
        <f>IF(O$2&gt;Inputs!$G$19,0,IF(Inputs!$Q$18="Year One",N$23*(1+Inputs!$Q$20),'Complex Inputs'!$D137))</f>
        <v>0</v>
      </c>
      <c r="P23" s="90">
        <f>IF(P$2&gt;Inputs!$G$19,0,IF(Inputs!$Q$18="Year One",O$23*(1+Inputs!$Q$20),'Complex Inputs'!$D138))</f>
        <v>0</v>
      </c>
      <c r="Q23" s="90">
        <f>IF(Q$2&gt;Inputs!$G$19,0,IF(Inputs!$Q$18="Year One",P$23*(1+Inputs!$Q$20),'Complex Inputs'!$D139))</f>
        <v>0</v>
      </c>
      <c r="R23" s="90">
        <f>IF(R$2&gt;Inputs!$G$19,0,IF(Inputs!$Q$18="Year One",Q$23*(1+Inputs!$Q$20),'Complex Inputs'!$D140))</f>
        <v>0</v>
      </c>
      <c r="S23" s="90">
        <f>IF(S$2&gt;Inputs!$G$19,0,IF(Inputs!$Q$18="Year One",R$23*(1+Inputs!$Q$20),'Complex Inputs'!$D141))</f>
        <v>0</v>
      </c>
      <c r="T23" s="90">
        <f>IF(T$2&gt;Inputs!$G$19,0,IF(Inputs!$Q$18="Year One",S$23*(1+Inputs!$Q$20),'Complex Inputs'!$D142))</f>
        <v>0</v>
      </c>
      <c r="U23" s="90">
        <f>IF(U$2&gt;Inputs!$G$19,0,IF(Inputs!$Q$18="Year One",T$23*(1+Inputs!$Q$20),'Complex Inputs'!$D143))</f>
        <v>0</v>
      </c>
      <c r="V23" s="90">
        <f>IF(V$2&gt;Inputs!$G$19,0,IF(Inputs!$Q$18="Year One",U$23*(1+Inputs!$Q$20),'Complex Inputs'!$D144))</f>
        <v>0</v>
      </c>
      <c r="W23" s="90">
        <f>IF(W$2&gt;Inputs!$G$19,0,IF(Inputs!$Q$18="Year One",V$23*(1+Inputs!$Q$20),'Complex Inputs'!$D145))</f>
        <v>0</v>
      </c>
      <c r="X23" s="90">
        <f>IF(X$2&gt;Inputs!$G$19,0,IF(Inputs!$Q$18="Year One",W$23*(1+Inputs!$Q$20),'Complex Inputs'!$D146))</f>
        <v>0</v>
      </c>
      <c r="Y23" s="90">
        <f>IF(Y$2&gt;Inputs!$G$19,0,IF(Inputs!$Q$18="Year One",X$23*(1+Inputs!$Q$20),'Complex Inputs'!$D147))</f>
        <v>0</v>
      </c>
      <c r="Z23" s="90">
        <f>IF(Z$2&gt;Inputs!$G$19,0,IF(Inputs!$Q$18="Year One",Y$23*(1+Inputs!$Q$20),'Complex Inputs'!$D148))</f>
        <v>0</v>
      </c>
      <c r="AA23" s="90">
        <f>IF(AA$2&gt;Inputs!$G$19,0,IF(Inputs!$Q$18="Year One",Z$23*(1+Inputs!$Q$20),'Complex Inputs'!$D149))</f>
        <v>0</v>
      </c>
      <c r="AB23" s="90">
        <f>IF(AB$2&gt;Inputs!$G$19,0,IF(Inputs!$Q$18="Year One",AA$23*(1+Inputs!$Q$20),'Complex Inputs'!$D150))</f>
        <v>0</v>
      </c>
      <c r="AC23" s="90">
        <f>IF(AC$2&gt;Inputs!$G$19,0,IF(Inputs!$Q$18="Year One",AB$23*(1+Inputs!$Q$20),'Complex Inputs'!$D151))</f>
        <v>0</v>
      </c>
      <c r="AD23" s="90">
        <f>IF(AD$2&gt;Inputs!$G$19,0,IF(Inputs!$Q$18="Year One",AC$23*(1+Inputs!$Q$20),'Complex Inputs'!$D152))</f>
        <v>0</v>
      </c>
      <c r="AE23" s="90">
        <f>IF(AE$2&gt;Inputs!$G$19,0,IF(Inputs!$Q$18="Year One",AD$23*(1+Inputs!$Q$20),'Complex Inputs'!$D153))</f>
        <v>0</v>
      </c>
      <c r="AF23" s="90">
        <f>IF(AF$2&gt;Inputs!$G$19,0,IF(Inputs!$Q$18="Year One",AE$23*(1+Inputs!$Q$20),'Complex Inputs'!$D154))</f>
        <v>0</v>
      </c>
      <c r="AG23" s="90">
        <f>IF(AG$2&gt;Inputs!$G$19,0,IF(Inputs!$Q$18="Year One",AF$23*(1+Inputs!$Q$20),'Complex Inputs'!$D155))</f>
        <v>0</v>
      </c>
      <c r="AH23" s="90">
        <f>IF(AH$2&gt;Inputs!$G$19,0,IF(Inputs!$Q$18="Year One",AG$23*(1+Inputs!$Q$20),'Complex Inputs'!$D156))</f>
        <v>0</v>
      </c>
      <c r="AI23" s="90">
        <f>IF(AI$2&gt;Inputs!$G$19,0,IF(Inputs!$Q$18="Year One",AH$23*(1+Inputs!$Q$20),'Complex Inputs'!$D157))</f>
        <v>0</v>
      </c>
      <c r="AJ23" s="90">
        <f>IF(AJ$2&gt;Inputs!$G$19,0,IF(Inputs!$Q$18="Year One",AI$23*(1+Inputs!$Q$20),'Complex Inputs'!$D158))</f>
        <v>0</v>
      </c>
    </row>
    <row r="24" spans="2:36" s="29" customFormat="1" ht="16">
      <c r="B24" s="36" t="s">
        <v>214</v>
      </c>
      <c r="C24" s="36"/>
      <c r="D24" s="36"/>
      <c r="E24" s="76" t="s">
        <v>0</v>
      </c>
      <c r="F24" s="36"/>
      <c r="G24" s="37">
        <f>IF(G$2&lt;=Inputs!$Q$13,0,IF(G$2&gt;Inputs!$G$19,0,(G$23*G$10)/100))</f>
        <v>0</v>
      </c>
      <c r="H24" s="37">
        <f>IF(H$2&lt;=Inputs!$Q$13,0,IF(H$2&gt;Inputs!$G$19,0,(H$23*H$10)/100))</f>
        <v>0</v>
      </c>
      <c r="I24" s="37">
        <f>IF(I$2&lt;=Inputs!$Q$13,0,IF(I$2&gt;Inputs!$G$19,0,(I$23*I$10)/100))</f>
        <v>0</v>
      </c>
      <c r="J24" s="37">
        <f>IF(J$2&lt;=Inputs!$Q$13,0,IF(J$2&gt;Inputs!$G$19,0,(J$23*J$10)/100))</f>
        <v>0</v>
      </c>
      <c r="K24" s="37">
        <f>IF(K$2&lt;=Inputs!$Q$13,0,IF(K$2&gt;Inputs!$G$19,0,(K$23*K$10)/100))</f>
        <v>0</v>
      </c>
      <c r="L24" s="37">
        <f>IF(L$2&lt;=Inputs!$Q$13,0,IF(L$2&gt;Inputs!$G$19,0,(L$23*L$10)/100))</f>
        <v>0</v>
      </c>
      <c r="M24" s="37">
        <f>IF(M$2&lt;=Inputs!$Q$13,0,IF(M$2&gt;Inputs!$G$19,0,(M$23*M$10)/100))</f>
        <v>0</v>
      </c>
      <c r="N24" s="37">
        <f>IF(N$2&lt;=Inputs!$Q$13,0,IF(N$2&gt;Inputs!$G$19,0,(N$23*N$10)/100))</f>
        <v>0</v>
      </c>
      <c r="O24" s="37">
        <f>IF(O$2&lt;=Inputs!$Q$13,0,IF(O$2&gt;Inputs!$G$19,0,(O$23*O$10)/100))</f>
        <v>0</v>
      </c>
      <c r="P24" s="37">
        <f>IF(P$2&lt;=Inputs!$Q$13,0,IF(P$2&gt;Inputs!$G$19,0,(P$23*P$10)/100))</f>
        <v>0</v>
      </c>
      <c r="Q24" s="37">
        <f>IF(Q$2&lt;=Inputs!$Q$13,0,IF(Q$2&gt;Inputs!$G$19,0,(Q$23*Q$10)/100))</f>
        <v>0</v>
      </c>
      <c r="R24" s="37">
        <f>IF(R$2&lt;=Inputs!$Q$13,0,IF(R$2&gt;Inputs!$G$19,0,(R$23*R$10)/100))</f>
        <v>0</v>
      </c>
      <c r="S24" s="37">
        <f>IF(S$2&lt;=Inputs!$Q$13,0,IF(S$2&gt;Inputs!$G$19,0,(S$23*S$10)/100))</f>
        <v>0</v>
      </c>
      <c r="T24" s="37">
        <f>IF(T$2&lt;=Inputs!$Q$13,0,IF(T$2&gt;Inputs!$G$19,0,(T$23*T$10)/100))</f>
        <v>0</v>
      </c>
      <c r="U24" s="37">
        <f>IF(U$2&lt;=Inputs!$Q$13,0,IF(U$2&gt;Inputs!$G$19,0,(U$23*U$10)/100))</f>
        <v>0</v>
      </c>
      <c r="V24" s="37">
        <f>IF(V$2&lt;=Inputs!$Q$13,0,IF(V$2&gt;Inputs!$G$19,0,(V$23*V$10)/100))</f>
        <v>0</v>
      </c>
      <c r="W24" s="37">
        <f>IF(W$2&lt;=Inputs!$Q$13,0,IF(W$2&gt;Inputs!$G$19,0,(W$23*W$10)/100))</f>
        <v>0</v>
      </c>
      <c r="X24" s="37">
        <f>IF(X$2&lt;=Inputs!$Q$13,0,IF(X$2&gt;Inputs!$G$19,0,(X$23*X$10)/100))</f>
        <v>0</v>
      </c>
      <c r="Y24" s="37">
        <f>IF(Y$2&lt;=Inputs!$Q$13,0,IF(Y$2&gt;Inputs!$G$19,0,(Y$23*Y$10)/100))</f>
        <v>0</v>
      </c>
      <c r="Z24" s="37">
        <f>IF(Z$2&lt;=Inputs!$Q$13,0,IF(Z$2&gt;Inputs!$G$19,0,(Z$23*Z$10)/100))</f>
        <v>0</v>
      </c>
      <c r="AA24" s="37">
        <f>IF(AA$2&lt;=Inputs!$Q$13,0,IF(AA$2&gt;Inputs!$G$19,0,(AA$23*AA$10)/100))</f>
        <v>0</v>
      </c>
      <c r="AB24" s="37">
        <f>IF(AB$2&lt;=Inputs!$Q$13,0,IF(AB$2&gt;Inputs!$G$19,0,(AB$23*AB$10)/100))</f>
        <v>0</v>
      </c>
      <c r="AC24" s="37">
        <f>IF(AC$2&lt;=Inputs!$Q$13,0,IF(AC$2&gt;Inputs!$G$19,0,(AC$23*AC$10)/100))</f>
        <v>0</v>
      </c>
      <c r="AD24" s="37">
        <f>IF(AD$2&lt;=Inputs!$Q$13,0,IF(AD$2&gt;Inputs!$G$19,0,(AD$23*AD$10)/100))</f>
        <v>0</v>
      </c>
      <c r="AE24" s="37">
        <f>IF(AE$2&lt;=Inputs!$Q$13,0,IF(AE$2&gt;Inputs!$G$19,0,(AE$23*AE$10)/100))</f>
        <v>0</v>
      </c>
      <c r="AF24" s="37">
        <f>IF(AF$2&lt;=Inputs!$Q$13,0,IF(AF$2&gt;Inputs!$G$19,0,(AF$23*AF$10)/100))</f>
        <v>0</v>
      </c>
      <c r="AG24" s="37">
        <f>IF(AG$2&lt;=Inputs!$Q$13,0,IF(AG$2&gt;Inputs!$G$19,0,(AG$23*AG$10)/100))</f>
        <v>0</v>
      </c>
      <c r="AH24" s="37">
        <f>IF(AH$2&lt;=Inputs!$Q$13,0,IF(AH$2&gt;Inputs!$G$19,0,(AH$23*AH$10)/100))</f>
        <v>0</v>
      </c>
      <c r="AI24" s="37">
        <f>IF(AI$2&lt;=Inputs!$Q$13,0,IF(AI$2&gt;Inputs!$G$19,0,(AI$23*AI$10)/100))</f>
        <v>0</v>
      </c>
      <c r="AJ24" s="37">
        <f>IF(AJ$2&lt;=Inputs!$Q$13,0,IF(AJ$2&gt;Inputs!$G$19,0,(AJ$23*AJ$10)/100))</f>
        <v>0</v>
      </c>
    </row>
    <row r="25" spans="2:36" s="29" customFormat="1" ht="16">
      <c r="B25" s="36" t="s">
        <v>103</v>
      </c>
      <c r="C25" s="36"/>
      <c r="D25" s="36"/>
      <c r="E25" s="79" t="s">
        <v>52</v>
      </c>
      <c r="F25" s="36"/>
      <c r="G25" s="90">
        <f>IF(OR(Inputs!$Q$24="Cost-Based",Inputs!$Q$24="Neither"),0,IF(AND(Inputs!$Q$29="Cash",G$2&lt;=Inputs!$Q$32),Inputs!$Q$30*G$16,0))</f>
        <v>0</v>
      </c>
      <c r="H25" s="90">
        <f>IF(OR(Inputs!$Q$24="Cost-Based",Inputs!$Q$24="Neither"),0,IF(AND(Inputs!$Q$29="Cash",H$2&lt;=Inputs!$Q$32),Inputs!$Q$30*H$16,0))</f>
        <v>0</v>
      </c>
      <c r="I25" s="90">
        <f>IF(OR(Inputs!$Q$24="Cost-Based",Inputs!$Q$24="Neither"),0,IF(AND(Inputs!$Q$29="Cash",I$2&lt;=Inputs!$Q$32),Inputs!$Q$30*I$16,0))</f>
        <v>0</v>
      </c>
      <c r="J25" s="90">
        <f>IF(OR(Inputs!$Q$24="Cost-Based",Inputs!$Q$24="Neither"),0,IF(AND(Inputs!$Q$29="Cash",J$2&lt;=Inputs!$Q$32),Inputs!$Q$30*J$16,0))</f>
        <v>0</v>
      </c>
      <c r="K25" s="90">
        <f>IF(OR(Inputs!$Q$24="Cost-Based",Inputs!$Q$24="Neither"),0,IF(AND(Inputs!$Q$29="Cash",K$2&lt;=Inputs!$Q$32),Inputs!$Q$30*K$16,0))</f>
        <v>0</v>
      </c>
      <c r="L25" s="90">
        <f>IF(OR(Inputs!$Q$24="Cost-Based",Inputs!$Q$24="Neither"),0,IF(AND(Inputs!$Q$29="Cash",L$2&lt;=Inputs!$Q$32),Inputs!$Q$30*L$16,0))</f>
        <v>0</v>
      </c>
      <c r="M25" s="90">
        <f>IF(OR(Inputs!$Q$24="Cost-Based",Inputs!$Q$24="Neither"),0,IF(AND(Inputs!$Q$29="Cash",M$2&lt;=Inputs!$Q$32),Inputs!$Q$30*M$16,0))</f>
        <v>0</v>
      </c>
      <c r="N25" s="90">
        <f>IF(OR(Inputs!$Q$24="Cost-Based",Inputs!$Q$24="Neither"),0,IF(AND(Inputs!$Q$29="Cash",N$2&lt;=Inputs!$Q$32),Inputs!$Q$30*N$16,0))</f>
        <v>0</v>
      </c>
      <c r="O25" s="90">
        <f>IF(OR(Inputs!$Q$24="Cost-Based",Inputs!$Q$24="Neither"),0,IF(AND(Inputs!$Q$29="Cash",O$2&lt;=Inputs!$Q$32),Inputs!$Q$30*O$16,0))</f>
        <v>0</v>
      </c>
      <c r="P25" s="90">
        <f>IF(OR(Inputs!$Q$24="Cost-Based",Inputs!$Q$24="Neither"),0,IF(AND(Inputs!$Q$29="Cash",P$2&lt;=Inputs!$Q$32),Inputs!$Q$30*P$16,0))</f>
        <v>0</v>
      </c>
      <c r="Q25" s="90">
        <f>IF(OR(Inputs!$Q$24="Cost-Based",Inputs!$Q$24="Neither"),0,IF(AND(Inputs!$Q$29="Cash",Q$2&lt;=Inputs!$Q$32),Inputs!$Q$30*Q$16,0))</f>
        <v>0</v>
      </c>
      <c r="R25" s="90">
        <f>IF(OR(Inputs!$Q$24="Cost-Based",Inputs!$Q$24="Neither"),0,IF(AND(Inputs!$Q$29="Cash",R$2&lt;=Inputs!$Q$32),Inputs!$Q$30*R$16,0))</f>
        <v>0</v>
      </c>
      <c r="S25" s="90">
        <f>IF(OR(Inputs!$Q$24="Cost-Based",Inputs!$Q$24="Neither"),0,IF(AND(Inputs!$Q$29="Cash",S$2&lt;=Inputs!$Q$32),Inputs!$Q$30*S$16,0))</f>
        <v>0</v>
      </c>
      <c r="T25" s="90">
        <f>IF(OR(Inputs!$Q$24="Cost-Based",Inputs!$Q$24="Neither"),0,IF(AND(Inputs!$Q$29="Cash",T$2&lt;=Inputs!$Q$32),Inputs!$Q$30*T$16,0))</f>
        <v>0</v>
      </c>
      <c r="U25" s="90">
        <f>IF(OR(Inputs!$Q$24="Cost-Based",Inputs!$Q$24="Neither"),0,IF(AND(Inputs!$Q$29="Cash",U$2&lt;=Inputs!$Q$32),Inputs!$Q$30*U$16,0))</f>
        <v>0</v>
      </c>
      <c r="V25" s="90">
        <f>IF(OR(Inputs!$Q$24="Cost-Based",Inputs!$Q$24="Neither"),0,IF(AND(Inputs!$Q$29="Cash",V$2&lt;=Inputs!$Q$32),Inputs!$Q$30*V$16,0))</f>
        <v>0</v>
      </c>
      <c r="W25" s="90">
        <f>IF(OR(Inputs!$Q$24="Cost-Based",Inputs!$Q$24="Neither"),0,IF(AND(Inputs!$Q$29="Cash",W$2&lt;=Inputs!$Q$32),Inputs!$Q$30*W$16,0))</f>
        <v>0</v>
      </c>
      <c r="X25" s="90">
        <f>IF(OR(Inputs!$Q$24="Cost-Based",Inputs!$Q$24="Neither"),0,IF(AND(Inputs!$Q$29="Cash",X$2&lt;=Inputs!$Q$32),Inputs!$Q$30*X$16,0))</f>
        <v>0</v>
      </c>
      <c r="Y25" s="90">
        <f>IF(OR(Inputs!$Q$24="Cost-Based",Inputs!$Q$24="Neither"),0,IF(AND(Inputs!$Q$29="Cash",Y$2&lt;=Inputs!$Q$32),Inputs!$Q$30*Y$16,0))</f>
        <v>0</v>
      </c>
      <c r="Z25" s="90">
        <f>IF(OR(Inputs!$Q$24="Cost-Based",Inputs!$Q$24="Neither"),0,IF(AND(Inputs!$Q$29="Cash",Z$2&lt;=Inputs!$Q$32),Inputs!$Q$30*Z$16,0))</f>
        <v>0</v>
      </c>
      <c r="AA25" s="90">
        <f>IF(OR(Inputs!$Q$24="Cost-Based",Inputs!$Q$24="Neither"),0,IF(AND(Inputs!$Q$29="Cash",AA$2&lt;=Inputs!$Q$32),Inputs!$Q$30*AA$16,0))</f>
        <v>0</v>
      </c>
      <c r="AB25" s="90">
        <f>IF(OR(Inputs!$Q$24="Cost-Based",Inputs!$Q$24="Neither"),0,IF(AND(Inputs!$Q$29="Cash",AB$2&lt;=Inputs!$Q$32),Inputs!$Q$30*AB$16,0))</f>
        <v>0</v>
      </c>
      <c r="AC25" s="90">
        <f>IF(OR(Inputs!$Q$24="Cost-Based",Inputs!$Q$24="Neither"),0,IF(AND(Inputs!$Q$29="Cash",AC$2&lt;=Inputs!$Q$32),Inputs!$Q$30*AC$16,0))</f>
        <v>0</v>
      </c>
      <c r="AD25" s="90">
        <f>IF(OR(Inputs!$Q$24="Cost-Based",Inputs!$Q$24="Neither"),0,IF(AND(Inputs!$Q$29="Cash",AD$2&lt;=Inputs!$Q$32),Inputs!$Q$30*AD$16,0))</f>
        <v>0</v>
      </c>
      <c r="AE25" s="90">
        <f>IF(OR(Inputs!$Q$24="Cost-Based",Inputs!$Q$24="Neither"),0,IF(AND(Inputs!$Q$29="Cash",AE$2&lt;=Inputs!$Q$32),Inputs!$Q$30*AE$16,0))</f>
        <v>0</v>
      </c>
      <c r="AF25" s="90">
        <f>IF(OR(Inputs!$Q$24="Cost-Based",Inputs!$Q$24="Neither"),0,IF(AND(Inputs!$Q$29="Cash",AF$2&lt;=Inputs!$Q$32),Inputs!$Q$30*AF$16,0))</f>
        <v>0</v>
      </c>
      <c r="AG25" s="90">
        <f>IF(OR(Inputs!$Q$24="Cost-Based",Inputs!$Q$24="Neither"),0,IF(AND(Inputs!$Q$29="Cash",AG$2&lt;=Inputs!$Q$32),Inputs!$Q$30*AG$16,0))</f>
        <v>0</v>
      </c>
      <c r="AH25" s="90">
        <f>IF(OR(Inputs!$Q$24="Cost-Based",Inputs!$Q$24="Neither"),0,IF(AND(Inputs!$Q$29="Cash",AH$2&lt;=Inputs!$Q$32),Inputs!$Q$30*AH$16,0))</f>
        <v>0</v>
      </c>
      <c r="AI25" s="90">
        <f>IF(OR(Inputs!$Q$24="Cost-Based",Inputs!$Q$24="Neither"),0,IF(AND(Inputs!$Q$29="Cash",AI$2&lt;=Inputs!$Q$32),Inputs!$Q$30*AI$16,0))</f>
        <v>0</v>
      </c>
      <c r="AJ25" s="90">
        <f>IF(OR(Inputs!$Q$24="Cost-Based",Inputs!$Q$24="Neither"),0,IF(AND(Inputs!$Q$29="Cash",AJ$2&lt;=Inputs!$Q$32),Inputs!$Q$30*AJ$16,0))</f>
        <v>0</v>
      </c>
    </row>
    <row r="26" spans="2:36" s="29" customFormat="1" ht="16">
      <c r="B26" s="36" t="s">
        <v>104</v>
      </c>
      <c r="C26" s="36"/>
      <c r="D26" s="36"/>
      <c r="E26" s="76" t="s">
        <v>0</v>
      </c>
      <c r="F26" s="36"/>
      <c r="G26" s="37">
        <f t="shared" ref="G26:AJ26" si="4">(G$25*G$10)/100</f>
        <v>0</v>
      </c>
      <c r="H26" s="37">
        <f t="shared" si="4"/>
        <v>0</v>
      </c>
      <c r="I26" s="37">
        <f t="shared" si="4"/>
        <v>0</v>
      </c>
      <c r="J26" s="37">
        <f t="shared" si="4"/>
        <v>0</v>
      </c>
      <c r="K26" s="37">
        <f t="shared" si="4"/>
        <v>0</v>
      </c>
      <c r="L26" s="37">
        <f t="shared" si="4"/>
        <v>0</v>
      </c>
      <c r="M26" s="37">
        <f t="shared" si="4"/>
        <v>0</v>
      </c>
      <c r="N26" s="37">
        <f t="shared" si="4"/>
        <v>0</v>
      </c>
      <c r="O26" s="37">
        <f t="shared" si="4"/>
        <v>0</v>
      </c>
      <c r="P26" s="37">
        <f t="shared" si="4"/>
        <v>0</v>
      </c>
      <c r="Q26" s="37">
        <f t="shared" si="4"/>
        <v>0</v>
      </c>
      <c r="R26" s="37">
        <f t="shared" si="4"/>
        <v>0</v>
      </c>
      <c r="S26" s="37">
        <f t="shared" si="4"/>
        <v>0</v>
      </c>
      <c r="T26" s="37">
        <f t="shared" si="4"/>
        <v>0</v>
      </c>
      <c r="U26" s="37">
        <f t="shared" si="4"/>
        <v>0</v>
      </c>
      <c r="V26" s="37">
        <f t="shared" si="4"/>
        <v>0</v>
      </c>
      <c r="W26" s="37">
        <f t="shared" si="4"/>
        <v>0</v>
      </c>
      <c r="X26" s="37">
        <f t="shared" si="4"/>
        <v>0</v>
      </c>
      <c r="Y26" s="37">
        <f t="shared" si="4"/>
        <v>0</v>
      </c>
      <c r="Z26" s="37">
        <f t="shared" si="4"/>
        <v>0</v>
      </c>
      <c r="AA26" s="37">
        <f t="shared" si="4"/>
        <v>0</v>
      </c>
      <c r="AB26" s="37">
        <f t="shared" si="4"/>
        <v>0</v>
      </c>
      <c r="AC26" s="37">
        <f t="shared" si="4"/>
        <v>0</v>
      </c>
      <c r="AD26" s="37">
        <f t="shared" si="4"/>
        <v>0</v>
      </c>
      <c r="AE26" s="37">
        <f t="shared" si="4"/>
        <v>0</v>
      </c>
      <c r="AF26" s="37">
        <f t="shared" si="4"/>
        <v>0</v>
      </c>
      <c r="AG26" s="37">
        <f t="shared" si="4"/>
        <v>0</v>
      </c>
      <c r="AH26" s="37">
        <f t="shared" si="4"/>
        <v>0</v>
      </c>
      <c r="AI26" s="37">
        <f t="shared" si="4"/>
        <v>0</v>
      </c>
      <c r="AJ26" s="37">
        <f t="shared" si="4"/>
        <v>0</v>
      </c>
    </row>
    <row r="27" spans="2:36" s="38" customFormat="1" ht="16">
      <c r="B27" s="36" t="s">
        <v>105</v>
      </c>
      <c r="C27" s="36"/>
      <c r="D27" s="36"/>
      <c r="E27" s="79" t="s">
        <v>52</v>
      </c>
      <c r="F27" s="36"/>
      <c r="G27" s="90">
        <f>IF(OR(Inputs!$Q$38="Cost-Based",Inputs!$Q$38="Neither"),0,IF(AND(Inputs!$Q$43="Cash",G$2&lt;=Inputs!$Q$48),Inputs!$Q$46*G$17*Inputs!$Q$47,0))</f>
        <v>0</v>
      </c>
      <c r="H27" s="90">
        <f>IF(OR(Inputs!$Q$38="Cost-Based",Inputs!$Q$38="Neither"),0,IF(AND(Inputs!$Q$43="Cash",H$2&lt;=Inputs!$Q$48),Inputs!$Q$46*H$17*Inputs!$Q$47,0))</f>
        <v>0</v>
      </c>
      <c r="I27" s="90">
        <f>IF(OR(Inputs!$Q$38="Cost-Based",Inputs!$Q$38="Neither"),0,IF(AND(Inputs!$Q$43="Cash",I$2&lt;=Inputs!$Q$48),Inputs!$Q$46*I$17*Inputs!$Q$47,0))</f>
        <v>0</v>
      </c>
      <c r="J27" s="90">
        <f>IF(OR(Inputs!$Q$38="Cost-Based",Inputs!$Q$38="Neither"),0,IF(AND(Inputs!$Q$43="Cash",J$2&lt;=Inputs!$Q$48),Inputs!$Q$46*J$17*Inputs!$Q$47,0))</f>
        <v>0</v>
      </c>
      <c r="K27" s="90">
        <f>IF(OR(Inputs!$Q$38="Cost-Based",Inputs!$Q$38="Neither"),0,IF(AND(Inputs!$Q$43="Cash",K$2&lt;=Inputs!$Q$48),Inputs!$Q$46*K$17*Inputs!$Q$47,0))</f>
        <v>0</v>
      </c>
      <c r="L27" s="90">
        <f>IF(OR(Inputs!$Q$38="Cost-Based",Inputs!$Q$38="Neither"),0,IF(AND(Inputs!$Q$43="Cash",L$2&lt;=Inputs!$Q$48),Inputs!$Q$46*L$17*Inputs!$Q$47,0))</f>
        <v>0</v>
      </c>
      <c r="M27" s="90">
        <f>IF(OR(Inputs!$Q$38="Cost-Based",Inputs!$Q$38="Neither"),0,IF(AND(Inputs!$Q$43="Cash",M$2&lt;=Inputs!$Q$48),Inputs!$Q$46*M$17*Inputs!$Q$47,0))</f>
        <v>0</v>
      </c>
      <c r="N27" s="90">
        <f>IF(OR(Inputs!$Q$38="Cost-Based",Inputs!$Q$38="Neither"),0,IF(AND(Inputs!$Q$43="Cash",N$2&lt;=Inputs!$Q$48),Inputs!$Q$46*N$17*Inputs!$Q$47,0))</f>
        <v>0</v>
      </c>
      <c r="O27" s="90">
        <f>IF(OR(Inputs!$Q$38="Cost-Based",Inputs!$Q$38="Neither"),0,IF(AND(Inputs!$Q$43="Cash",O$2&lt;=Inputs!$Q$48),Inputs!$Q$46*O$17*Inputs!$Q$47,0))</f>
        <v>0</v>
      </c>
      <c r="P27" s="90">
        <f>IF(OR(Inputs!$Q$38="Cost-Based",Inputs!$Q$38="Neither"),0,IF(AND(Inputs!$Q$43="Cash",P$2&lt;=Inputs!$Q$48),Inputs!$Q$46*P$17*Inputs!$Q$47,0))</f>
        <v>0</v>
      </c>
      <c r="Q27" s="90">
        <f>IF(OR(Inputs!$Q$38="Cost-Based",Inputs!$Q$38="Neither"),0,IF(AND(Inputs!$Q$43="Cash",Q$2&lt;=Inputs!$Q$48),Inputs!$Q$46*Q$17*Inputs!$Q$47,0))</f>
        <v>0</v>
      </c>
      <c r="R27" s="90">
        <f>IF(OR(Inputs!$Q$38="Cost-Based",Inputs!$Q$38="Neither"),0,IF(AND(Inputs!$Q$43="Cash",R$2&lt;=Inputs!$Q$48),Inputs!$Q$46*R$17*Inputs!$Q$47,0))</f>
        <v>0</v>
      </c>
      <c r="S27" s="90">
        <f>IF(OR(Inputs!$Q$38="Cost-Based",Inputs!$Q$38="Neither"),0,IF(AND(Inputs!$Q$43="Cash",S$2&lt;=Inputs!$Q$48),Inputs!$Q$46*S$17*Inputs!$Q$47,0))</f>
        <v>0</v>
      </c>
      <c r="T27" s="90">
        <f>IF(OR(Inputs!$Q$38="Cost-Based",Inputs!$Q$38="Neither"),0,IF(AND(Inputs!$Q$43="Cash",T$2&lt;=Inputs!$Q$48),Inputs!$Q$46*T$17*Inputs!$Q$47,0))</f>
        <v>0</v>
      </c>
      <c r="U27" s="90">
        <f>IF(OR(Inputs!$Q$38="Cost-Based",Inputs!$Q$38="Neither"),0,IF(AND(Inputs!$Q$43="Cash",U$2&lt;=Inputs!$Q$48),Inputs!$Q$46*U$17*Inputs!$Q$47,0))</f>
        <v>0</v>
      </c>
      <c r="V27" s="90">
        <f>IF(OR(Inputs!$Q$38="Cost-Based",Inputs!$Q$38="Neither"),0,IF(AND(Inputs!$Q$43="Cash",V$2&lt;=Inputs!$Q$48),Inputs!$Q$46*V$17*Inputs!$Q$47,0))</f>
        <v>0</v>
      </c>
      <c r="W27" s="90">
        <f>IF(OR(Inputs!$Q$38="Cost-Based",Inputs!$Q$38="Neither"),0,IF(AND(Inputs!$Q$43="Cash",W$2&lt;=Inputs!$Q$48),Inputs!$Q$46*W$17*Inputs!$Q$47,0))</f>
        <v>0</v>
      </c>
      <c r="X27" s="90">
        <f>IF(OR(Inputs!$Q$38="Cost-Based",Inputs!$Q$38="Neither"),0,IF(AND(Inputs!$Q$43="Cash",X$2&lt;=Inputs!$Q$48),Inputs!$Q$46*X$17*Inputs!$Q$47,0))</f>
        <v>0</v>
      </c>
      <c r="Y27" s="90">
        <f>IF(OR(Inputs!$Q$38="Cost-Based",Inputs!$Q$38="Neither"),0,IF(AND(Inputs!$Q$43="Cash",Y$2&lt;=Inputs!$Q$48),Inputs!$Q$46*Y$17*Inputs!$Q$47,0))</f>
        <v>0</v>
      </c>
      <c r="Z27" s="90">
        <f>IF(OR(Inputs!$Q$38="Cost-Based",Inputs!$Q$38="Neither"),0,IF(AND(Inputs!$Q$43="Cash",Z$2&lt;=Inputs!$Q$48),Inputs!$Q$46*Z$17*Inputs!$Q$47,0))</f>
        <v>0</v>
      </c>
      <c r="AA27" s="90">
        <f>IF(OR(Inputs!$Q$38="Cost-Based",Inputs!$Q$38="Neither"),0,IF(AND(Inputs!$Q$43="Cash",AA$2&lt;=Inputs!$Q$48),Inputs!$Q$46*AA$17*Inputs!$Q$47,0))</f>
        <v>0</v>
      </c>
      <c r="AB27" s="90">
        <f>IF(OR(Inputs!$Q$38="Cost-Based",Inputs!$Q$38="Neither"),0,IF(AND(Inputs!$Q$43="Cash",AB$2&lt;=Inputs!$Q$48),Inputs!$Q$46*AB$17*Inputs!$Q$47,0))</f>
        <v>0</v>
      </c>
      <c r="AC27" s="90">
        <f>IF(OR(Inputs!$Q$38="Cost-Based",Inputs!$Q$38="Neither"),0,IF(AND(Inputs!$Q$43="Cash",AC$2&lt;=Inputs!$Q$48),Inputs!$Q$46*AC$17*Inputs!$Q$47,0))</f>
        <v>0</v>
      </c>
      <c r="AD27" s="90">
        <f>IF(OR(Inputs!$Q$38="Cost-Based",Inputs!$Q$38="Neither"),0,IF(AND(Inputs!$Q$43="Cash",AD$2&lt;=Inputs!$Q$48),Inputs!$Q$46*AD$17*Inputs!$Q$47,0))</f>
        <v>0</v>
      </c>
      <c r="AE27" s="90">
        <f>IF(OR(Inputs!$Q$38="Cost-Based",Inputs!$Q$38="Neither"),0,IF(AND(Inputs!$Q$43="Cash",AE$2&lt;=Inputs!$Q$48),Inputs!$Q$46*AE$17*Inputs!$Q$47,0))</f>
        <v>0</v>
      </c>
      <c r="AF27" s="90">
        <f>IF(OR(Inputs!$Q$38="Cost-Based",Inputs!$Q$38="Neither"),0,IF(AND(Inputs!$Q$43="Cash",AF$2&lt;=Inputs!$Q$48),Inputs!$Q$46*AF$17*Inputs!$Q$47,0))</f>
        <v>0</v>
      </c>
      <c r="AG27" s="90">
        <f>IF(OR(Inputs!$Q$38="Cost-Based",Inputs!$Q$38="Neither"),0,IF(AND(Inputs!$Q$43="Cash",AG$2&lt;=Inputs!$Q$48),Inputs!$Q$46*AG$17*Inputs!$Q$47,0))</f>
        <v>0</v>
      </c>
      <c r="AH27" s="90">
        <f>IF(OR(Inputs!$Q$38="Cost-Based",Inputs!$Q$38="Neither"),0,IF(AND(Inputs!$Q$43="Cash",AH$2&lt;=Inputs!$Q$48),Inputs!$Q$46*AH$17*Inputs!$Q$47,0))</f>
        <v>0</v>
      </c>
      <c r="AI27" s="90">
        <f>IF(OR(Inputs!$Q$38="Cost-Based",Inputs!$Q$38="Neither"),0,IF(AND(Inputs!$Q$43="Cash",AI$2&lt;=Inputs!$Q$48),Inputs!$Q$46*AI$17*Inputs!$Q$47,0))</f>
        <v>0</v>
      </c>
      <c r="AJ27" s="90">
        <f>IF(OR(Inputs!$Q$38="Cost-Based",Inputs!$Q$38="Neither"),0,IF(AND(Inputs!$Q$43="Cash",AJ$2&lt;=Inputs!$Q$48),Inputs!$Q$46*AJ$17*Inputs!$Q$47,0))</f>
        <v>0</v>
      </c>
    </row>
    <row r="28" spans="2:36" s="38" customFormat="1" ht="16">
      <c r="B28" s="36" t="s">
        <v>106</v>
      </c>
      <c r="C28" s="36"/>
      <c r="D28" s="36"/>
      <c r="E28" s="76" t="s">
        <v>0</v>
      </c>
      <c r="F28" s="36"/>
      <c r="G28" s="37">
        <f>IF(Inputs!$Q$44=0,(G$27*G$10)/100,MIN(Inputs!$Q$44,(G$27*G$10)/100))</f>
        <v>0</v>
      </c>
      <c r="H28" s="37">
        <f>IF(Inputs!$Q$44=0,(H$27*H$10)/100,MIN(Inputs!$Q$44,(H$27*H$10)/100))</f>
        <v>0</v>
      </c>
      <c r="I28" s="37">
        <f>IF(Inputs!$Q$44=0,(I$27*I$10)/100,MIN(Inputs!$Q$44,(I$27*I$10)/100))</f>
        <v>0</v>
      </c>
      <c r="J28" s="37">
        <f>IF(Inputs!$Q$44=0,(J$27*J$10)/100,MIN(Inputs!$Q$44,(J$27*J$10)/100))</f>
        <v>0</v>
      </c>
      <c r="K28" s="37">
        <f>IF(Inputs!$Q$44=0,(K$27*K$10)/100,MIN(Inputs!$Q$44,(K$27*K$10)/100))</f>
        <v>0</v>
      </c>
      <c r="L28" s="37">
        <f>IF(Inputs!$Q$44=0,(L$27*L$10)/100,MIN(Inputs!$Q$44,(L$27*L$10)/100))</f>
        <v>0</v>
      </c>
      <c r="M28" s="37">
        <f>IF(Inputs!$Q$44=0,(M$27*M$10)/100,MIN(Inputs!$Q$44,(M$27*M$10)/100))</f>
        <v>0</v>
      </c>
      <c r="N28" s="37">
        <f>IF(Inputs!$Q$44=0,(N$27*N$10)/100,MIN(Inputs!$Q$44,(N$27*N$10)/100))</f>
        <v>0</v>
      </c>
      <c r="O28" s="37">
        <f>IF(Inputs!$Q$44=0,(O$27*O$10)/100,MIN(Inputs!$Q$44,(O$27*O$10)/100))</f>
        <v>0</v>
      </c>
      <c r="P28" s="37">
        <f>IF(Inputs!$Q$44=0,(P$27*P$10)/100,MIN(Inputs!$Q$44,(P$27*P$10)/100))</f>
        <v>0</v>
      </c>
      <c r="Q28" s="37">
        <f>IF(Inputs!$Q$44=0,(Q$27*Q$10)/100,MIN(Inputs!$Q$44,(Q$27*Q$10)/100))</f>
        <v>0</v>
      </c>
      <c r="R28" s="37">
        <f>IF(Inputs!$Q$44=0,(R$27*R$10)/100,MIN(Inputs!$Q$44,(R$27*R$10)/100))</f>
        <v>0</v>
      </c>
      <c r="S28" s="37">
        <f>IF(Inputs!$Q$44=0,(S$27*S$10)/100,MIN(Inputs!$Q$44,(S$27*S$10)/100))</f>
        <v>0</v>
      </c>
      <c r="T28" s="37">
        <f>IF(Inputs!$Q$44=0,(T$27*T$10)/100,MIN(Inputs!$Q$44,(T$27*T$10)/100))</f>
        <v>0</v>
      </c>
      <c r="U28" s="37">
        <f>IF(Inputs!$Q$44=0,(U$27*U$10)/100,MIN(Inputs!$Q$44,(U$27*U$10)/100))</f>
        <v>0</v>
      </c>
      <c r="V28" s="37">
        <f>IF(Inputs!$Q$44=0,(V$27*V$10)/100,MIN(Inputs!$Q$44,(V$27*V$10)/100))</f>
        <v>0</v>
      </c>
      <c r="W28" s="37">
        <f>IF(Inputs!$Q$44=0,(W$27*W$10)/100,MIN(Inputs!$Q$44,(W$27*W$10)/100))</f>
        <v>0</v>
      </c>
      <c r="X28" s="37">
        <f>IF(Inputs!$Q$44=0,(X$27*X$10)/100,MIN(Inputs!$Q$44,(X$27*X$10)/100))</f>
        <v>0</v>
      </c>
      <c r="Y28" s="37">
        <f>IF(Inputs!$Q$44=0,(Y$27*Y$10)/100,MIN(Inputs!$Q$44,(Y$27*Y$10)/100))</f>
        <v>0</v>
      </c>
      <c r="Z28" s="37">
        <f>IF(Inputs!$Q$44=0,(Z$27*Z$10)/100,MIN(Inputs!$Q$44,(Z$27*Z$10)/100))</f>
        <v>0</v>
      </c>
      <c r="AA28" s="37">
        <f>IF(Inputs!$Q$44=0,(AA$27*AA$10)/100,MIN(Inputs!$Q$44,(AA$27*AA$10)/100))</f>
        <v>0</v>
      </c>
      <c r="AB28" s="37">
        <f>IF(Inputs!$Q$44=0,(AB$27*AB$10)/100,MIN(Inputs!$Q$44,(AB$27*AB$10)/100))</f>
        <v>0</v>
      </c>
      <c r="AC28" s="37">
        <f>IF(Inputs!$Q$44=0,(AC$27*AC$10)/100,MIN(Inputs!$Q$44,(AC$27*AC$10)/100))</f>
        <v>0</v>
      </c>
      <c r="AD28" s="37">
        <f>IF(Inputs!$Q$44=0,(AD$27*AD$10)/100,MIN(Inputs!$Q$44,(AD$27*AD$10)/100))</f>
        <v>0</v>
      </c>
      <c r="AE28" s="37">
        <f>IF(Inputs!$Q$44=0,(AE$27*AE$10)/100,MIN(Inputs!$Q$44,(AE$27*AE$10)/100))</f>
        <v>0</v>
      </c>
      <c r="AF28" s="37">
        <f>IF(Inputs!$Q$44=0,(AF$27*AF$10)/100,MIN(Inputs!$Q$44,(AF$27*AF$10)/100))</f>
        <v>0</v>
      </c>
      <c r="AG28" s="37">
        <f>IF(Inputs!$Q$44=0,(AG$27*AG$10)/100,MIN(Inputs!$Q$44,(AG$27*AG$10)/100))</f>
        <v>0</v>
      </c>
      <c r="AH28" s="37">
        <f>IF(Inputs!$Q$44=0,(AH$27*AH$10)/100,MIN(Inputs!$Q$44,(AH$27*AH$10)/100))</f>
        <v>0</v>
      </c>
      <c r="AI28" s="37">
        <f>IF(Inputs!$Q$44=0,(AI$27*AI$10)/100,MIN(Inputs!$Q$44,(AI$27*AI$10)/100))</f>
        <v>0</v>
      </c>
      <c r="AJ28" s="37">
        <f>IF(Inputs!$Q$44=0,(AJ$27*AJ$10)/100,MIN(Inputs!$Q$44,(AJ$27*AJ$10)/100))</f>
        <v>0</v>
      </c>
    </row>
    <row r="29" spans="2:36" s="38" customFormat="1" ht="16">
      <c r="B29" s="36" t="s">
        <v>178</v>
      </c>
      <c r="C29" s="36"/>
      <c r="D29" s="36"/>
      <c r="E29" s="76" t="s">
        <v>0</v>
      </c>
      <c r="F29" s="36"/>
      <c r="G29" s="726">
        <f>G218</f>
        <v>22184.324224411441</v>
      </c>
      <c r="H29" s="726">
        <f t="shared" ref="H29:AJ29" si="5">H218</f>
        <v>22184.324224411441</v>
      </c>
      <c r="I29" s="726">
        <f t="shared" si="5"/>
        <v>22184.324224411441</v>
      </c>
      <c r="J29" s="726">
        <f t="shared" si="5"/>
        <v>22184.324224411441</v>
      </c>
      <c r="K29" s="726">
        <f t="shared" si="5"/>
        <v>22184.324224411441</v>
      </c>
      <c r="L29" s="726">
        <f t="shared" si="5"/>
        <v>22184.324224411441</v>
      </c>
      <c r="M29" s="726">
        <f t="shared" si="5"/>
        <v>22184.324224411441</v>
      </c>
      <c r="N29" s="726">
        <f t="shared" si="5"/>
        <v>22184.324224411441</v>
      </c>
      <c r="O29" s="726">
        <f t="shared" si="5"/>
        <v>22184.324224411441</v>
      </c>
      <c r="P29" s="726">
        <f t="shared" si="5"/>
        <v>22184.324224411441</v>
      </c>
      <c r="Q29" s="726">
        <f t="shared" si="5"/>
        <v>22184.324224411441</v>
      </c>
      <c r="R29" s="726">
        <f t="shared" si="5"/>
        <v>22184.324224411441</v>
      </c>
      <c r="S29" s="726">
        <f t="shared" si="5"/>
        <v>22184.324224411441</v>
      </c>
      <c r="T29" s="726">
        <f t="shared" si="5"/>
        <v>19072.654355067902</v>
      </c>
      <c r="U29" s="726">
        <f t="shared" si="5"/>
        <v>15960.984485724361</v>
      </c>
      <c r="V29" s="726">
        <f t="shared" si="5"/>
        <v>15960.984485724361</v>
      </c>
      <c r="W29" s="726">
        <f t="shared" si="5"/>
        <v>15960.984485724361</v>
      </c>
      <c r="X29" s="726">
        <f t="shared" si="5"/>
        <v>15960.984485724361</v>
      </c>
      <c r="Y29" s="726">
        <f t="shared" si="5"/>
        <v>15960.984485724361</v>
      </c>
      <c r="Z29" s="726">
        <f t="shared" si="5"/>
        <v>7980.4922428621803</v>
      </c>
      <c r="AA29" s="726">
        <f t="shared" si="5"/>
        <v>0</v>
      </c>
      <c r="AB29" s="726">
        <f t="shared" si="5"/>
        <v>0</v>
      </c>
      <c r="AC29" s="726">
        <f t="shared" si="5"/>
        <v>0</v>
      </c>
      <c r="AD29" s="726">
        <f t="shared" si="5"/>
        <v>0</v>
      </c>
      <c r="AE29" s="726">
        <f t="shared" si="5"/>
        <v>0</v>
      </c>
      <c r="AF29" s="726">
        <f t="shared" si="5"/>
        <v>0</v>
      </c>
      <c r="AG29" s="726">
        <f t="shared" si="5"/>
        <v>0</v>
      </c>
      <c r="AH29" s="726">
        <f t="shared" si="5"/>
        <v>0</v>
      </c>
      <c r="AI29" s="726">
        <f t="shared" si="5"/>
        <v>0</v>
      </c>
      <c r="AJ29" s="726">
        <f t="shared" si="5"/>
        <v>0</v>
      </c>
    </row>
    <row r="30" spans="2:36" s="36" customFormat="1" ht="16">
      <c r="B30" s="39" t="s">
        <v>443</v>
      </c>
      <c r="C30" s="39"/>
      <c r="D30" s="39"/>
      <c r="E30" s="80" t="s">
        <v>0</v>
      </c>
      <c r="F30" s="39"/>
      <c r="G30" s="737">
        <f>G11*(Inputs!$Q$9*G$12)</f>
        <v>0</v>
      </c>
      <c r="H30" s="737">
        <f>H11*(Inputs!$Q$9*H$12)</f>
        <v>0</v>
      </c>
      <c r="I30" s="737">
        <f>I11*(Inputs!$Q$9*I$12)</f>
        <v>0</v>
      </c>
      <c r="J30" s="737">
        <f>J11*(Inputs!$Q$9*J$12)</f>
        <v>0</v>
      </c>
      <c r="K30" s="737">
        <f>K11*(Inputs!$Q$9*K$12)</f>
        <v>0</v>
      </c>
      <c r="L30" s="737">
        <f>L11*(Inputs!$Q$9*L$12)</f>
        <v>0</v>
      </c>
      <c r="M30" s="737">
        <f>M11*(Inputs!$Q$9*M$12)</f>
        <v>0</v>
      </c>
      <c r="N30" s="737">
        <f>N11*(Inputs!$Q$9*N$12)</f>
        <v>0</v>
      </c>
      <c r="O30" s="737">
        <f>O11*(Inputs!$Q$9*O$12)</f>
        <v>0</v>
      </c>
      <c r="P30" s="737">
        <f>P11*(Inputs!$Q$9*P$12)</f>
        <v>0</v>
      </c>
      <c r="Q30" s="737">
        <f>Q11*(Inputs!$Q$9*Q$12)</f>
        <v>0</v>
      </c>
      <c r="R30" s="737">
        <f>R11*(Inputs!$Q$9*R$12)</f>
        <v>0</v>
      </c>
      <c r="S30" s="737">
        <f>S11*(Inputs!$Q$9*S$12)</f>
        <v>0</v>
      </c>
      <c r="T30" s="737">
        <f>T11*(Inputs!$Q$9*T$12)</f>
        <v>0</v>
      </c>
      <c r="U30" s="737">
        <f>U11*(Inputs!$Q$9*U$12)</f>
        <v>0</v>
      </c>
      <c r="V30" s="737">
        <f>V11*(Inputs!$Q$9*V$12)</f>
        <v>0</v>
      </c>
      <c r="W30" s="737">
        <f>W11*(Inputs!$Q$9*W$12)</f>
        <v>0</v>
      </c>
      <c r="X30" s="737">
        <f>X11*(Inputs!$Q$9*X$12)</f>
        <v>0</v>
      </c>
      <c r="Y30" s="737">
        <f>Y11*(Inputs!$Q$9*Y$12)</f>
        <v>0</v>
      </c>
      <c r="Z30" s="737">
        <f>Z11*(Inputs!$Q$9*Z$12)</f>
        <v>0</v>
      </c>
      <c r="AA30" s="737">
        <f>AA11*(Inputs!$Q$9*AA$12)</f>
        <v>0</v>
      </c>
      <c r="AB30" s="737">
        <f>AB11*(Inputs!$Q$9*AB$12)</f>
        <v>0</v>
      </c>
      <c r="AC30" s="737">
        <f>AC11*(Inputs!$Q$9*AC$12)</f>
        <v>0</v>
      </c>
      <c r="AD30" s="737">
        <f>AD11*(Inputs!$Q$9*AD$12)</f>
        <v>0</v>
      </c>
      <c r="AE30" s="737">
        <f>AE11*(Inputs!$Q$9*AE$12)</f>
        <v>0</v>
      </c>
      <c r="AF30" s="737">
        <f>AF11*(Inputs!$Q$9*AF$12)</f>
        <v>0</v>
      </c>
      <c r="AG30" s="737">
        <f>AG11*(Inputs!$Q$9*AG$12)</f>
        <v>0</v>
      </c>
      <c r="AH30" s="737">
        <f>AH11*(Inputs!$Q$9*AH$12)</f>
        <v>0</v>
      </c>
      <c r="AI30" s="737">
        <f>AI11*(Inputs!$Q$9*AI$12)</f>
        <v>0</v>
      </c>
      <c r="AJ30" s="737">
        <f>AJ11*(Inputs!$Q$9*AJ$12)</f>
        <v>0</v>
      </c>
    </row>
    <row r="31" spans="2:36" s="31" customFormat="1" ht="16">
      <c r="B31" s="49" t="s">
        <v>113</v>
      </c>
      <c r="C31" s="49"/>
      <c r="D31" s="49"/>
      <c r="E31" s="738" t="s">
        <v>0</v>
      </c>
      <c r="F31" s="49"/>
      <c r="G31" s="739">
        <f>G22+G24+G26+G28+G29+G30</f>
        <v>3350198.1142244111</v>
      </c>
      <c r="H31" s="739">
        <f t="shared" ref="H31:AJ31" si="6">H22+H24+H26+H28+H29+H30</f>
        <v>3350198.1142244111</v>
      </c>
      <c r="I31" s="739">
        <f t="shared" si="6"/>
        <v>3350198.1142244115</v>
      </c>
      <c r="J31" s="739">
        <f t="shared" si="6"/>
        <v>3350198.1142244102</v>
      </c>
      <c r="K31" s="739">
        <f t="shared" si="6"/>
        <v>3350198.1142244115</v>
      </c>
      <c r="L31" s="739">
        <f t="shared" si="6"/>
        <v>3350198.1142244111</v>
      </c>
      <c r="M31" s="739">
        <f t="shared" si="6"/>
        <v>3350198.1142244115</v>
      </c>
      <c r="N31" s="739">
        <f t="shared" si="6"/>
        <v>3350198.1142244111</v>
      </c>
      <c r="O31" s="739">
        <f t="shared" si="6"/>
        <v>3350198.1142244102</v>
      </c>
      <c r="P31" s="739">
        <f t="shared" si="6"/>
        <v>3350198.1142244115</v>
      </c>
      <c r="Q31" s="739">
        <f t="shared" si="6"/>
        <v>3350198.1142244115</v>
      </c>
      <c r="R31" s="739">
        <f t="shared" si="6"/>
        <v>3350198.1142244115</v>
      </c>
      <c r="S31" s="739">
        <f t="shared" si="6"/>
        <v>3350198.1142244111</v>
      </c>
      <c r="T31" s="739">
        <f t="shared" si="6"/>
        <v>3347086.4443550673</v>
      </c>
      <c r="U31" s="739">
        <f t="shared" si="6"/>
        <v>3343974.7744857245</v>
      </c>
      <c r="V31" s="739">
        <f t="shared" si="6"/>
        <v>3343974.7744857245</v>
      </c>
      <c r="W31" s="739">
        <f t="shared" si="6"/>
        <v>3343974.7744857231</v>
      </c>
      <c r="X31" s="739">
        <f t="shared" si="6"/>
        <v>3343974.7744857245</v>
      </c>
      <c r="Y31" s="739">
        <f t="shared" si="6"/>
        <v>3343974.7744857245</v>
      </c>
      <c r="Z31" s="739">
        <f t="shared" si="6"/>
        <v>3335994.282242862</v>
      </c>
      <c r="AA31" s="739">
        <f t="shared" si="6"/>
        <v>0</v>
      </c>
      <c r="AB31" s="739">
        <f t="shared" si="6"/>
        <v>0</v>
      </c>
      <c r="AC31" s="739">
        <f t="shared" si="6"/>
        <v>0</v>
      </c>
      <c r="AD31" s="739">
        <f t="shared" si="6"/>
        <v>0</v>
      </c>
      <c r="AE31" s="739">
        <f t="shared" si="6"/>
        <v>0</v>
      </c>
      <c r="AF31" s="739">
        <f t="shared" si="6"/>
        <v>0</v>
      </c>
      <c r="AG31" s="739">
        <f t="shared" si="6"/>
        <v>0</v>
      </c>
      <c r="AH31" s="739">
        <f t="shared" si="6"/>
        <v>0</v>
      </c>
      <c r="AI31" s="739">
        <f t="shared" si="6"/>
        <v>0</v>
      </c>
      <c r="AJ31" s="739">
        <f t="shared" si="6"/>
        <v>0</v>
      </c>
    </row>
    <row r="32" spans="2:36" s="31" customFormat="1" ht="16">
      <c r="E32" s="82"/>
    </row>
    <row r="33" spans="2:36" s="31" customFormat="1" ht="16">
      <c r="B33" s="49" t="s">
        <v>65</v>
      </c>
      <c r="C33" s="49"/>
      <c r="D33" s="49"/>
      <c r="E33" s="82"/>
    </row>
    <row r="34" spans="2:36" s="31" customFormat="1" ht="16">
      <c r="B34" s="31" t="s">
        <v>107</v>
      </c>
      <c r="E34" s="76"/>
      <c r="F34" s="740"/>
      <c r="G34" s="320">
        <v>1</v>
      </c>
      <c r="H34" s="83">
        <f>G34*(1+IF(G$2&lt;=Inputs!$G$38,Inputs!$G$37,Inputs!$G$39))</f>
        <v>1.02</v>
      </c>
      <c r="I34" s="83">
        <f>H34*(1+IF(H$2&lt;=Inputs!$G$38,Inputs!$G$37,Inputs!$G$39))</f>
        <v>1.0404</v>
      </c>
      <c r="J34" s="83">
        <f>I34*(1+IF(I$2&lt;=Inputs!$G$38,Inputs!$G$37,Inputs!$G$39))</f>
        <v>1.0612079999999999</v>
      </c>
      <c r="K34" s="83">
        <f>J34*(1+IF(J$2&lt;=Inputs!$G$38,Inputs!$G$37,Inputs!$G$39))</f>
        <v>1.08243216</v>
      </c>
      <c r="L34" s="83">
        <f>K34*(1+IF(K$2&lt;=Inputs!$G$38,Inputs!$G$37,Inputs!$G$39))</f>
        <v>1.1040808032</v>
      </c>
      <c r="M34" s="83">
        <f>L34*(1+IF(L$2&lt;=Inputs!$G$38,Inputs!$G$37,Inputs!$G$39))</f>
        <v>1.1261624192640001</v>
      </c>
      <c r="N34" s="83">
        <f>M34*(1+IF(M$2&lt;=Inputs!$G$38,Inputs!$G$37,Inputs!$G$39))</f>
        <v>1.14868566764928</v>
      </c>
      <c r="O34" s="83">
        <f>N34*(1+IF(N$2&lt;=Inputs!$G$38,Inputs!$G$37,Inputs!$G$39))</f>
        <v>1.1716593810022657</v>
      </c>
      <c r="P34" s="83">
        <f>O34*(1+IF(O$2&lt;=Inputs!$G$38,Inputs!$G$37,Inputs!$G$39))</f>
        <v>1.1950925686223111</v>
      </c>
      <c r="Q34" s="83">
        <f>P34*(1+IF(P$2&lt;=Inputs!$G$38,Inputs!$G$37,Inputs!$G$39))</f>
        <v>1.2189944199947573</v>
      </c>
      <c r="R34" s="83">
        <f>Q34*(1+IF(Q$2&lt;=Inputs!$G$38,Inputs!$G$37,Inputs!$G$39))</f>
        <v>1.2433743083946525</v>
      </c>
      <c r="S34" s="83">
        <f>R34*(1+IF(R$2&lt;=Inputs!$G$38,Inputs!$G$37,Inputs!$G$39))</f>
        <v>1.2682417945625455</v>
      </c>
      <c r="T34" s="83">
        <f>S34*(1+IF(S$2&lt;=Inputs!$G$38,Inputs!$G$37,Inputs!$G$39))</f>
        <v>1.2936066304537963</v>
      </c>
      <c r="U34" s="83">
        <f>T34*(1+IF(T$2&lt;=Inputs!$G$38,Inputs!$G$37,Inputs!$G$39))</f>
        <v>1.3194787630628724</v>
      </c>
      <c r="V34" s="83">
        <f>U34*(1+IF(U$2&lt;=Inputs!$G$38,Inputs!$G$37,Inputs!$G$39))</f>
        <v>1.3458683383241299</v>
      </c>
      <c r="W34" s="83">
        <f>V34*(1+IF(V$2&lt;=Inputs!$G$38,Inputs!$G$37,Inputs!$G$39))</f>
        <v>1.3727857050906125</v>
      </c>
      <c r="X34" s="83">
        <f>W34*(1+IF(W$2&lt;=Inputs!$G$38,Inputs!$G$37,Inputs!$G$39))</f>
        <v>1.4002414191924248</v>
      </c>
      <c r="Y34" s="83">
        <f>X34*(1+IF(X$2&lt;=Inputs!$G$38,Inputs!$G$37,Inputs!$G$39))</f>
        <v>1.4282462475762734</v>
      </c>
      <c r="Z34" s="83">
        <f>Y34*(1+IF(Y$2&lt;=Inputs!$G$38,Inputs!$G$37,Inputs!$G$39))</f>
        <v>1.4568111725277988</v>
      </c>
      <c r="AA34" s="83">
        <f>Z34*(1+IF(Z$2&lt;=Inputs!$G$38,Inputs!$G$37,Inputs!$G$39))</f>
        <v>1.4859473959783549</v>
      </c>
      <c r="AB34" s="83">
        <f>AA34*(1+IF(AA$2&lt;=Inputs!$G$38,Inputs!$G$37,Inputs!$G$39))</f>
        <v>1.5156663438979221</v>
      </c>
      <c r="AC34" s="83">
        <f>AB34*(1+IF(AB$2&lt;=Inputs!$G$38,Inputs!$G$37,Inputs!$G$39))</f>
        <v>1.5459796707758806</v>
      </c>
      <c r="AD34" s="83">
        <f>AC34*(1+IF(AC$2&lt;=Inputs!$G$38,Inputs!$G$37,Inputs!$G$39))</f>
        <v>1.5768992641913981</v>
      </c>
      <c r="AE34" s="83">
        <f>AD34*(1+IF(AD$2&lt;=Inputs!$G$38,Inputs!$G$37,Inputs!$G$39))</f>
        <v>1.6084372494752261</v>
      </c>
      <c r="AF34" s="83">
        <f>AE34*(1+IF(AE$2&lt;=Inputs!$G$38,Inputs!$G$37,Inputs!$G$39))</f>
        <v>1.6406059944647307</v>
      </c>
      <c r="AG34" s="83">
        <f>AF34*(1+IF(AF$2&lt;=Inputs!$G$38,Inputs!$G$37,Inputs!$G$39))</f>
        <v>1.6734181143540252</v>
      </c>
      <c r="AH34" s="83">
        <f>AG34*(1+IF(AG$2&lt;=Inputs!$G$38,Inputs!$G$37,Inputs!$G$39))</f>
        <v>1.7068864766411058</v>
      </c>
      <c r="AI34" s="83">
        <f>AH34*(1+IF(AH$2&lt;=Inputs!$G$38,Inputs!$G$37,Inputs!$G$39))</f>
        <v>1.7410242061739281</v>
      </c>
      <c r="AJ34" s="83">
        <f>AI34*(1+IF(AI$2&lt;=Inputs!$G$38,Inputs!$G$37,Inputs!$G$39))</f>
        <v>1.7758446902974065</v>
      </c>
    </row>
    <row r="35" spans="2:36" s="31" customFormat="1" ht="16">
      <c r="B35" s="31" t="s">
        <v>449</v>
      </c>
      <c r="E35" s="76"/>
      <c r="F35" s="740"/>
      <c r="G35" s="320">
        <v>1</v>
      </c>
      <c r="H35" s="83">
        <f>G35*(1+Inputs!$G$44)</f>
        <v>1.02</v>
      </c>
      <c r="I35" s="83">
        <f>H35*(1+Inputs!$G$44)</f>
        <v>1.0404</v>
      </c>
      <c r="J35" s="83">
        <f>I35*(1+Inputs!$G$44)</f>
        <v>1.0612079999999999</v>
      </c>
      <c r="K35" s="83">
        <f>J35*(1+Inputs!$G$44)</f>
        <v>1.08243216</v>
      </c>
      <c r="L35" s="83">
        <f>K35*(1+Inputs!$G$44)</f>
        <v>1.1040808032</v>
      </c>
      <c r="M35" s="83">
        <f>L35*(1+Inputs!$G$44)</f>
        <v>1.1261624192640001</v>
      </c>
      <c r="N35" s="83">
        <f>M35*(1+Inputs!$G$44)</f>
        <v>1.14868566764928</v>
      </c>
      <c r="O35" s="83">
        <f>N35*(1+Inputs!$G$44)</f>
        <v>1.1716593810022657</v>
      </c>
      <c r="P35" s="83">
        <f>O35*(1+Inputs!$G$44)</f>
        <v>1.1950925686223111</v>
      </c>
      <c r="Q35" s="83">
        <f>P35*(1+Inputs!$G$44)</f>
        <v>1.2189944199947573</v>
      </c>
      <c r="R35" s="83">
        <f>Q35*(1+Inputs!$G$44)</f>
        <v>1.2433743083946525</v>
      </c>
      <c r="S35" s="83">
        <f>R35*(1+Inputs!$G$44)</f>
        <v>1.2682417945625455</v>
      </c>
      <c r="T35" s="83">
        <f>S35*(1+Inputs!$G$44)</f>
        <v>1.2936066304537963</v>
      </c>
      <c r="U35" s="83">
        <f>T35*(1+Inputs!$G$44)</f>
        <v>1.3194787630628724</v>
      </c>
      <c r="V35" s="83">
        <f>U35*(1+Inputs!$G$44)</f>
        <v>1.3458683383241299</v>
      </c>
      <c r="W35" s="83">
        <f>V35*(1+Inputs!$G$44)</f>
        <v>1.3727857050906125</v>
      </c>
      <c r="X35" s="83">
        <f>W35*(1+Inputs!$G$44)</f>
        <v>1.4002414191924248</v>
      </c>
      <c r="Y35" s="83">
        <f>X35*(1+Inputs!$G$44)</f>
        <v>1.4282462475762734</v>
      </c>
      <c r="Z35" s="83">
        <f>Y35*(1+Inputs!$G$44)</f>
        <v>1.4568111725277988</v>
      </c>
      <c r="AA35" s="83">
        <f>Z35*(1+Inputs!$G$44)</f>
        <v>1.4859473959783549</v>
      </c>
      <c r="AB35" s="83">
        <f>AA35*(1+Inputs!$G$44)</f>
        <v>1.5156663438979221</v>
      </c>
      <c r="AC35" s="83">
        <f>AB35*(1+Inputs!$G$44)</f>
        <v>1.5459796707758806</v>
      </c>
      <c r="AD35" s="83">
        <f>AC35*(1+Inputs!$G$44)</f>
        <v>1.5768992641913981</v>
      </c>
      <c r="AE35" s="83">
        <f>AD35*(1+Inputs!$G$44)</f>
        <v>1.6084372494752261</v>
      </c>
      <c r="AF35" s="83">
        <f>AE35*(1+Inputs!$G$44)</f>
        <v>1.6406059944647307</v>
      </c>
      <c r="AG35" s="83">
        <f>AF35*(1+Inputs!$G$44)</f>
        <v>1.6734181143540252</v>
      </c>
      <c r="AH35" s="83">
        <f>AG35*(1+Inputs!$G$44)</f>
        <v>1.7068864766411058</v>
      </c>
      <c r="AI35" s="83">
        <f>AH35*(1+Inputs!$G$44)</f>
        <v>1.7410242061739281</v>
      </c>
      <c r="AJ35" s="83">
        <f>AI35*(1+Inputs!$G$44)</f>
        <v>1.7758446902974065</v>
      </c>
    </row>
    <row r="36" spans="2:36" s="31" customFormat="1" ht="16">
      <c r="E36" s="76"/>
      <c r="F36" s="740"/>
      <c r="G36" s="88"/>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row>
    <row r="37" spans="2:36" s="31" customFormat="1" ht="16">
      <c r="B37" s="31" t="s">
        <v>108</v>
      </c>
      <c r="E37" s="76" t="s">
        <v>0</v>
      </c>
      <c r="F37" s="740"/>
      <c r="G37" s="41">
        <f>-IF(G$2&gt;Inputs!$G$19,0,Inputs!$G$35*Inputs!$G$9*G$34)</f>
        <v>-912500</v>
      </c>
      <c r="H37" s="41">
        <f>-IF(H$2&gt;Inputs!$G$19,0,Inputs!$G$35*Inputs!$G$9*H$34)</f>
        <v>-930750</v>
      </c>
      <c r="I37" s="41">
        <f>-IF(I$2&gt;Inputs!$G$19,0,Inputs!$G$35*Inputs!$G$9*I$34)</f>
        <v>-949365</v>
      </c>
      <c r="J37" s="41">
        <f>-IF(J$2&gt;Inputs!$G$19,0,Inputs!$G$35*Inputs!$G$9*J$34)</f>
        <v>-968352.29999999993</v>
      </c>
      <c r="K37" s="41">
        <f>-IF(K$2&gt;Inputs!$G$19,0,Inputs!$G$35*Inputs!$G$9*K$34)</f>
        <v>-987719.34600000002</v>
      </c>
      <c r="L37" s="41">
        <f>-IF(L$2&gt;Inputs!$G$19,0,Inputs!$G$35*Inputs!$G$9*L$34)</f>
        <v>-1007473.73292</v>
      </c>
      <c r="M37" s="41">
        <f>-IF(M$2&gt;Inputs!$G$19,0,Inputs!$G$35*Inputs!$G$9*M$34)</f>
        <v>-1027623.2075784</v>
      </c>
      <c r="N37" s="41">
        <f>-IF(N$2&gt;Inputs!$G$19,0,Inputs!$G$35*Inputs!$G$9*N$34)</f>
        <v>-1048175.671729968</v>
      </c>
      <c r="O37" s="41">
        <f>-IF(O$2&gt;Inputs!$G$19,0,Inputs!$G$35*Inputs!$G$9*O$34)</f>
        <v>-1069139.1851645675</v>
      </c>
      <c r="P37" s="41">
        <f>-IF(P$2&gt;Inputs!$G$19,0,Inputs!$G$35*Inputs!$G$9*P$34)</f>
        <v>-1090521.9688678589</v>
      </c>
      <c r="Q37" s="41">
        <f>-IF(Q$2&gt;Inputs!$G$19,0,Inputs!$G$35*Inputs!$G$9*Q$34)</f>
        <v>-1112332.4082452161</v>
      </c>
      <c r="R37" s="41">
        <f>-IF(R$2&gt;Inputs!$G$19,0,Inputs!$G$35*Inputs!$G$9*R$34)</f>
        <v>-1134579.0564101203</v>
      </c>
      <c r="S37" s="41">
        <f>-IF(S$2&gt;Inputs!$G$19,0,Inputs!$G$35*Inputs!$G$9*S$34)</f>
        <v>-1157270.6375383227</v>
      </c>
      <c r="T37" s="41">
        <f>-IF(T$2&gt;Inputs!$G$19,0,Inputs!$G$35*Inputs!$G$9*T$34)</f>
        <v>-1180416.0502890891</v>
      </c>
      <c r="U37" s="41">
        <f>-IF(U$2&gt;Inputs!$G$19,0,Inputs!$G$35*Inputs!$G$9*U$34)</f>
        <v>-1204024.371294871</v>
      </c>
      <c r="V37" s="41">
        <f>-IF(V$2&gt;Inputs!$G$19,0,Inputs!$G$35*Inputs!$G$9*V$34)</f>
        <v>-1228104.8587207685</v>
      </c>
      <c r="W37" s="41">
        <f>-IF(W$2&gt;Inputs!$G$19,0,Inputs!$G$35*Inputs!$G$9*W$34)</f>
        <v>-1252666.9558951838</v>
      </c>
      <c r="X37" s="41">
        <f>-IF(X$2&gt;Inputs!$G$19,0,Inputs!$G$35*Inputs!$G$9*X$34)</f>
        <v>-1277720.2950130876</v>
      </c>
      <c r="Y37" s="41">
        <f>-IF(Y$2&gt;Inputs!$G$19,0,Inputs!$G$35*Inputs!$G$9*Y$34)</f>
        <v>-1303274.7009133494</v>
      </c>
      <c r="Z37" s="41">
        <f>-IF(Z$2&gt;Inputs!$G$19,0,Inputs!$G$35*Inputs!$G$9*Z$34)</f>
        <v>-1329340.1949316163</v>
      </c>
      <c r="AA37" s="41">
        <f>-IF(AA$2&gt;Inputs!$G$19,0,Inputs!$G$35*Inputs!$G$9*AA$34)</f>
        <v>0</v>
      </c>
      <c r="AB37" s="41">
        <f>-IF(AB$2&gt;Inputs!$G$19,0,Inputs!$G$35*Inputs!$G$9*AB$34)</f>
        <v>0</v>
      </c>
      <c r="AC37" s="41">
        <f>-IF(AC$2&gt;Inputs!$G$19,0,Inputs!$G$35*Inputs!$G$9*AC$34)</f>
        <v>0</v>
      </c>
      <c r="AD37" s="41">
        <f>-IF(AD$2&gt;Inputs!$G$19,0,Inputs!$G$35*Inputs!$G$9*AD$34)</f>
        <v>0</v>
      </c>
      <c r="AE37" s="41">
        <f>-IF(AE$2&gt;Inputs!$G$19,0,Inputs!$G$35*Inputs!$G$9*AE$34)</f>
        <v>0</v>
      </c>
      <c r="AF37" s="41">
        <f>-IF(AF$2&gt;Inputs!$G$19,0,Inputs!$G$35*Inputs!$G$9*AF$34)</f>
        <v>0</v>
      </c>
      <c r="AG37" s="41">
        <f>-IF(AG$2&gt;Inputs!$G$19,0,Inputs!$G$35*Inputs!$G$9*AG$34)</f>
        <v>0</v>
      </c>
      <c r="AH37" s="41">
        <f>-IF(AH$2&gt;Inputs!$G$19,0,Inputs!$G$35*Inputs!$G$9*AH$34)</f>
        <v>0</v>
      </c>
      <c r="AI37" s="41">
        <f>-IF(AI$2&gt;Inputs!$G$19,0,Inputs!$G$35*Inputs!$G$9*AI$34)</f>
        <v>0</v>
      </c>
      <c r="AJ37" s="41">
        <f>-IF(AJ$2&gt;Inputs!$G$19,0,Inputs!$G$35*Inputs!$G$9*AJ$34)</f>
        <v>0</v>
      </c>
    </row>
    <row r="38" spans="2:36" s="31" customFormat="1" ht="16">
      <c r="B38" s="31" t="s">
        <v>109</v>
      </c>
      <c r="E38" s="76" t="s">
        <v>0</v>
      </c>
      <c r="G38" s="41">
        <f>-IF(G$2&gt;Inputs!$G$19,0,Inputs!$G$36/100*(Inputs!$G$9*Inputs!$G$14*8760)*G$34)</f>
        <v>0</v>
      </c>
      <c r="H38" s="41">
        <f>-IF(H$2&gt;Inputs!$G$19,0,Inputs!$G$36/100*(Inputs!$G$9*Inputs!$G$14*8760)*H$34)</f>
        <v>0</v>
      </c>
      <c r="I38" s="41">
        <f>-IF(I$2&gt;Inputs!$G$19,0,Inputs!$G$36/100*(Inputs!$G$9*Inputs!$G$14*8760)*I$34)</f>
        <v>0</v>
      </c>
      <c r="J38" s="41">
        <f>-IF(J$2&gt;Inputs!$G$19,0,Inputs!$G$36/100*(Inputs!$G$9*Inputs!$G$14*8760)*J$34)</f>
        <v>0</v>
      </c>
      <c r="K38" s="41">
        <f>-IF(K$2&gt;Inputs!$G$19,0,Inputs!$G$36/100*(Inputs!$G$9*Inputs!$G$14*8760)*K$34)</f>
        <v>0</v>
      </c>
      <c r="L38" s="41">
        <f>-IF(L$2&gt;Inputs!$G$19,0,Inputs!$G$36/100*(Inputs!$G$9*Inputs!$G$14*8760)*L$34)</f>
        <v>0</v>
      </c>
      <c r="M38" s="41">
        <f>-IF(M$2&gt;Inputs!$G$19,0,Inputs!$G$36/100*(Inputs!$G$9*Inputs!$G$14*8760)*M$34)</f>
        <v>0</v>
      </c>
      <c r="N38" s="41">
        <f>-IF(N$2&gt;Inputs!$G$19,0,Inputs!$G$36/100*(Inputs!$G$9*Inputs!$G$14*8760)*N$34)</f>
        <v>0</v>
      </c>
      <c r="O38" s="41">
        <f>-IF(O$2&gt;Inputs!$G$19,0,Inputs!$G$36/100*(Inputs!$G$9*Inputs!$G$14*8760)*O$34)</f>
        <v>0</v>
      </c>
      <c r="P38" s="41">
        <f>-IF(P$2&gt;Inputs!$G$19,0,Inputs!$G$36/100*(Inputs!$G$9*Inputs!$G$14*8760)*P$34)</f>
        <v>0</v>
      </c>
      <c r="Q38" s="41">
        <f>-IF(Q$2&gt;Inputs!$G$19,0,Inputs!$G$36/100*(Inputs!$G$9*Inputs!$G$14*8760)*Q$34)</f>
        <v>0</v>
      </c>
      <c r="R38" s="41">
        <f>-IF(R$2&gt;Inputs!$G$19,0,Inputs!$G$36/100*(Inputs!$G$9*Inputs!$G$14*8760)*R$34)</f>
        <v>0</v>
      </c>
      <c r="S38" s="41">
        <f>-IF(S$2&gt;Inputs!$G$19,0,Inputs!$G$36/100*(Inputs!$G$9*Inputs!$G$14*8760)*S$34)</f>
        <v>0</v>
      </c>
      <c r="T38" s="41">
        <f>-IF(T$2&gt;Inputs!$G$19,0,Inputs!$G$36/100*(Inputs!$G$9*Inputs!$G$14*8760)*T$34)</f>
        <v>0</v>
      </c>
      <c r="U38" s="41">
        <f>-IF(U$2&gt;Inputs!$G$19,0,Inputs!$G$36/100*(Inputs!$G$9*Inputs!$G$14*8760)*U$34)</f>
        <v>0</v>
      </c>
      <c r="V38" s="41">
        <f>-IF(V$2&gt;Inputs!$G$19,0,Inputs!$G$36/100*(Inputs!$G$9*Inputs!$G$14*8760)*V$34)</f>
        <v>0</v>
      </c>
      <c r="W38" s="41">
        <f>-IF(W$2&gt;Inputs!$G$19,0,Inputs!$G$36/100*(Inputs!$G$9*Inputs!$G$14*8760)*W$34)</f>
        <v>0</v>
      </c>
      <c r="X38" s="41">
        <f>-IF(X$2&gt;Inputs!$G$19,0,Inputs!$G$36/100*(Inputs!$G$9*Inputs!$G$14*8760)*X$34)</f>
        <v>0</v>
      </c>
      <c r="Y38" s="41">
        <f>-IF(Y$2&gt;Inputs!$G$19,0,Inputs!$G$36/100*(Inputs!$G$9*Inputs!$G$14*8760)*Y$34)</f>
        <v>0</v>
      </c>
      <c r="Z38" s="41">
        <f>-IF(Z$2&gt;Inputs!$G$19,0,Inputs!$G$36/100*(Inputs!$G$9*Inputs!$G$14*8760)*Z$34)</f>
        <v>0</v>
      </c>
      <c r="AA38" s="41">
        <f>-IF(AA$2&gt;Inputs!$G$19,0,Inputs!$G$36/100*(Inputs!$G$9*Inputs!$G$14*8760)*AA$34)</f>
        <v>0</v>
      </c>
      <c r="AB38" s="41">
        <f>-IF(AB$2&gt;Inputs!$G$19,0,Inputs!$G$36/100*(Inputs!$G$9*Inputs!$G$14*8760)*AB$34)</f>
        <v>0</v>
      </c>
      <c r="AC38" s="41">
        <f>-IF(AC$2&gt;Inputs!$G$19,0,Inputs!$G$36/100*(Inputs!$G$9*Inputs!$G$14*8760)*AC$34)</f>
        <v>0</v>
      </c>
      <c r="AD38" s="41">
        <f>-IF(AD$2&gt;Inputs!$G$19,0,Inputs!$G$36/100*(Inputs!$G$9*Inputs!$G$14*8760)*AD$34)</f>
        <v>0</v>
      </c>
      <c r="AE38" s="41">
        <f>-IF(AE$2&gt;Inputs!$G$19,0,Inputs!$G$36/100*(Inputs!$G$9*Inputs!$G$14*8760)*AE$34)</f>
        <v>0</v>
      </c>
      <c r="AF38" s="41">
        <f>-IF(AF$2&gt;Inputs!$G$19,0,Inputs!$G$36/100*(Inputs!$G$9*Inputs!$G$14*8760)*AF$34)</f>
        <v>0</v>
      </c>
      <c r="AG38" s="41">
        <f>-IF(AG$2&gt;Inputs!$G$19,0,Inputs!$G$36/100*(Inputs!$G$9*Inputs!$G$14*8760)*AG$34)</f>
        <v>0</v>
      </c>
      <c r="AH38" s="41">
        <f>-IF(AH$2&gt;Inputs!$G$19,0,Inputs!$G$36/100*(Inputs!$G$9*Inputs!$G$14*8760)*AH$34)</f>
        <v>0</v>
      </c>
      <c r="AI38" s="41">
        <f>-IF(AI$2&gt;Inputs!$G$19,0,Inputs!$G$36/100*(Inputs!$G$9*Inputs!$G$14*8760)*AI$34)</f>
        <v>0</v>
      </c>
      <c r="AJ38" s="41">
        <f>-IF(AJ$2&gt;Inputs!$G$19,0,Inputs!$G$36/100*(Inputs!$G$9*Inputs!$G$14*8760)*AJ$34)</f>
        <v>0</v>
      </c>
    </row>
    <row r="39" spans="2:36" s="31" customFormat="1" ht="16">
      <c r="B39" s="31" t="s">
        <v>67</v>
      </c>
      <c r="E39" s="76" t="s">
        <v>0</v>
      </c>
      <c r="G39" s="41">
        <f>-IF(Inputs!$G$34="simple",0,IF(G$2&gt;Inputs!$G$19,0,Inputs!$G$41*G$34))</f>
        <v>-52012.5</v>
      </c>
      <c r="H39" s="41">
        <f>-IF(Inputs!$G$34="simple",0,IF(H$2&gt;Inputs!$G$19,0,Inputs!$G$41*H$34))</f>
        <v>-53052.75</v>
      </c>
      <c r="I39" s="41">
        <f>-IF(Inputs!$G$34="simple",0,IF(I$2&gt;Inputs!$G$19,0,Inputs!$G$41*I$34))</f>
        <v>-54113.805</v>
      </c>
      <c r="J39" s="41">
        <f>-IF(Inputs!$G$34="simple",0,IF(J$2&gt;Inputs!$G$19,0,Inputs!$G$41*J$34))</f>
        <v>-55196.081099999996</v>
      </c>
      <c r="K39" s="41">
        <f>-IF(Inputs!$G$34="simple",0,IF(K$2&gt;Inputs!$G$19,0,Inputs!$G$41*K$34))</f>
        <v>-56300.002721999997</v>
      </c>
      <c r="L39" s="41">
        <f>-IF(Inputs!$G$34="simple",0,IF(L$2&gt;Inputs!$G$19,0,Inputs!$G$41*L$34))</f>
        <v>-57426.00277644</v>
      </c>
      <c r="M39" s="41">
        <f>-IF(Inputs!$G$34="simple",0,IF(M$2&gt;Inputs!$G$19,0,Inputs!$G$41*M$34))</f>
        <v>-58574.522831968803</v>
      </c>
      <c r="N39" s="41">
        <f>-IF(Inputs!$G$34="simple",0,IF(N$2&gt;Inputs!$G$19,0,Inputs!$G$41*N$34))</f>
        <v>-59746.013288608177</v>
      </c>
      <c r="O39" s="41">
        <f>-IF(Inputs!$G$34="simple",0,IF(O$2&gt;Inputs!$G$19,0,Inputs!$G$41*O$34))</f>
        <v>-60940.933554380346</v>
      </c>
      <c r="P39" s="41">
        <f>-IF(Inputs!$G$34="simple",0,IF(P$2&gt;Inputs!$G$19,0,Inputs!$G$41*P$34))</f>
        <v>-62159.752225467957</v>
      </c>
      <c r="Q39" s="41">
        <f>-IF(Inputs!$G$34="simple",0,IF(Q$2&gt;Inputs!$G$19,0,Inputs!$G$41*Q$34))</f>
        <v>-63402.947269977318</v>
      </c>
      <c r="R39" s="41">
        <f>-IF(Inputs!$G$34="simple",0,IF(R$2&gt;Inputs!$G$19,0,Inputs!$G$41*R$34))</f>
        <v>-64671.006215376859</v>
      </c>
      <c r="S39" s="41">
        <f>-IF(Inputs!$G$34="simple",0,IF(S$2&gt;Inputs!$G$19,0,Inputs!$G$41*S$34))</f>
        <v>-65964.426339684404</v>
      </c>
      <c r="T39" s="41">
        <f>-IF(Inputs!$G$34="simple",0,IF(T$2&gt;Inputs!$G$19,0,Inputs!$G$41*T$34))</f>
        <v>-67283.714866478083</v>
      </c>
      <c r="U39" s="41">
        <f>-IF(Inputs!$G$34="simple",0,IF(U$2&gt;Inputs!$G$19,0,Inputs!$G$41*U$34))</f>
        <v>-68629.389163807646</v>
      </c>
      <c r="V39" s="41">
        <f>-IF(Inputs!$G$34="simple",0,IF(V$2&gt;Inputs!$G$19,0,Inputs!$G$41*V$34))</f>
        <v>-70001.976947083807</v>
      </c>
      <c r="W39" s="41">
        <f>-IF(Inputs!$G$34="simple",0,IF(W$2&gt;Inputs!$G$19,0,Inputs!$G$41*W$34))</f>
        <v>-71402.016486025488</v>
      </c>
      <c r="X39" s="41">
        <f>-IF(Inputs!$G$34="simple",0,IF(X$2&gt;Inputs!$G$19,0,Inputs!$G$41*X$34))</f>
        <v>-72830.056815745993</v>
      </c>
      <c r="Y39" s="41">
        <f>-IF(Inputs!$G$34="simple",0,IF(Y$2&gt;Inputs!$G$19,0,Inputs!$G$41*Y$34))</f>
        <v>-74286.657952060923</v>
      </c>
      <c r="Z39" s="41">
        <f>-IF(Inputs!$G$34="simple",0,IF(Z$2&gt;Inputs!$G$19,0,Inputs!$G$41*Z$34))</f>
        <v>-75772.39111110213</v>
      </c>
      <c r="AA39" s="41">
        <f>-IF(Inputs!$G$34="simple",0,IF(AA$2&gt;Inputs!$G$19,0,Inputs!$G$41*AA$34))</f>
        <v>0</v>
      </c>
      <c r="AB39" s="41">
        <f>-IF(Inputs!$G$34="simple",0,IF(AB$2&gt;Inputs!$G$19,0,Inputs!$G$41*AB$34))</f>
        <v>0</v>
      </c>
      <c r="AC39" s="41">
        <f>-IF(Inputs!$G$34="simple",0,IF(AC$2&gt;Inputs!$G$19,0,Inputs!$G$41*AC$34))</f>
        <v>0</v>
      </c>
      <c r="AD39" s="41">
        <f>-IF(Inputs!$G$34="simple",0,IF(AD$2&gt;Inputs!$G$19,0,Inputs!$G$41*AD$34))</f>
        <v>0</v>
      </c>
      <c r="AE39" s="41">
        <f>-IF(Inputs!$G$34="simple",0,IF(AE$2&gt;Inputs!$G$19,0,Inputs!$G$41*AE$34))</f>
        <v>0</v>
      </c>
      <c r="AF39" s="41">
        <f>-IF(Inputs!$G$34="simple",0,IF(AF$2&gt;Inputs!$G$19,0,Inputs!$G$41*AF$34))</f>
        <v>0</v>
      </c>
      <c r="AG39" s="41">
        <f>-IF(Inputs!$G$34="simple",0,IF(AG$2&gt;Inputs!$G$19,0,Inputs!$G$41*AG$34))</f>
        <v>0</v>
      </c>
      <c r="AH39" s="41">
        <f>-IF(Inputs!$G$34="simple",0,IF(AH$2&gt;Inputs!$G$19,0,Inputs!$G$41*AH$34))</f>
        <v>0</v>
      </c>
      <c r="AI39" s="41">
        <f>-IF(Inputs!$G$34="simple",0,IF(AI$2&gt;Inputs!$G$19,0,Inputs!$G$41*AI$34))</f>
        <v>0</v>
      </c>
      <c r="AJ39" s="41">
        <f>-IF(Inputs!$G$34="simple",0,IF(AJ$2&gt;Inputs!$G$19,0,Inputs!$G$41*AJ$34))</f>
        <v>0</v>
      </c>
    </row>
    <row r="40" spans="2:36" s="31" customFormat="1" ht="16">
      <c r="B40" s="31" t="s">
        <v>66</v>
      </c>
      <c r="E40" s="76" t="s">
        <v>0</v>
      </c>
      <c r="G40" s="41">
        <f>-IF(Inputs!$G$34="simple",0,IF(G$2&gt;Inputs!$G$19,0,Inputs!$G$42*G$34))</f>
        <v>-30000</v>
      </c>
      <c r="H40" s="41">
        <f>-IF(Inputs!$G$34="simple",0,IF(H$2&gt;Inputs!$G$19,0,Inputs!$G$42*H$34))</f>
        <v>-30600</v>
      </c>
      <c r="I40" s="41">
        <f>-IF(Inputs!$G$34="simple",0,IF(I$2&gt;Inputs!$G$19,0,Inputs!$G$42*I$34))</f>
        <v>-31212</v>
      </c>
      <c r="J40" s="41">
        <f>-IF(Inputs!$G$34="simple",0,IF(J$2&gt;Inputs!$G$19,0,Inputs!$G$42*J$34))</f>
        <v>-31836.239999999998</v>
      </c>
      <c r="K40" s="41">
        <f>-IF(Inputs!$G$34="simple",0,IF(K$2&gt;Inputs!$G$19,0,Inputs!$G$42*K$34))</f>
        <v>-32472.964799999998</v>
      </c>
      <c r="L40" s="41">
        <f>-IF(Inputs!$G$34="simple",0,IF(L$2&gt;Inputs!$G$19,0,Inputs!$G$42*L$34))</f>
        <v>-33122.424096000002</v>
      </c>
      <c r="M40" s="41">
        <f>-IF(Inputs!$G$34="simple",0,IF(M$2&gt;Inputs!$G$19,0,Inputs!$G$42*M$34))</f>
        <v>-33784.872577920003</v>
      </c>
      <c r="N40" s="41">
        <f>-IF(Inputs!$G$34="simple",0,IF(N$2&gt;Inputs!$G$19,0,Inputs!$G$42*N$34))</f>
        <v>-34460.570029478404</v>
      </c>
      <c r="O40" s="41">
        <f>-IF(Inputs!$G$34="simple",0,IF(O$2&gt;Inputs!$G$19,0,Inputs!$G$42*O$34))</f>
        <v>-35149.781430067975</v>
      </c>
      <c r="P40" s="41">
        <f>-IF(Inputs!$G$34="simple",0,IF(P$2&gt;Inputs!$G$19,0,Inputs!$G$42*P$34))</f>
        <v>-35852.77705866933</v>
      </c>
      <c r="Q40" s="41">
        <f>-IF(Inputs!$G$34="simple",0,IF(Q$2&gt;Inputs!$G$19,0,Inputs!$G$42*Q$34))</f>
        <v>-36569.832599842717</v>
      </c>
      <c r="R40" s="41">
        <f>-IF(Inputs!$G$34="simple",0,IF(R$2&gt;Inputs!$G$19,0,Inputs!$G$42*R$34))</f>
        <v>-37301.229251839577</v>
      </c>
      <c r="S40" s="41">
        <f>-IF(Inputs!$G$34="simple",0,IF(S$2&gt;Inputs!$G$19,0,Inputs!$G$42*S$34))</f>
        <v>-38047.253836876363</v>
      </c>
      <c r="T40" s="41">
        <f>-IF(Inputs!$G$34="simple",0,IF(T$2&gt;Inputs!$G$19,0,Inputs!$G$42*T$34))</f>
        <v>-38808.198913613887</v>
      </c>
      <c r="U40" s="41">
        <f>-IF(Inputs!$G$34="simple",0,IF(U$2&gt;Inputs!$G$19,0,Inputs!$G$42*U$34))</f>
        <v>-39584.362891886172</v>
      </c>
      <c r="V40" s="41">
        <f>-IF(Inputs!$G$34="simple",0,IF(V$2&gt;Inputs!$G$19,0,Inputs!$G$42*V$34))</f>
        <v>-40376.050149723895</v>
      </c>
      <c r="W40" s="41">
        <f>-IF(Inputs!$G$34="simple",0,IF(W$2&gt;Inputs!$G$19,0,Inputs!$G$42*W$34))</f>
        <v>-41183.571152718374</v>
      </c>
      <c r="X40" s="41">
        <f>-IF(Inputs!$G$34="simple",0,IF(X$2&gt;Inputs!$G$19,0,Inputs!$G$42*X$34))</f>
        <v>-42007.242575772747</v>
      </c>
      <c r="Y40" s="41">
        <f>-IF(Inputs!$G$34="simple",0,IF(Y$2&gt;Inputs!$G$19,0,Inputs!$G$42*Y$34))</f>
        <v>-42847.387427288202</v>
      </c>
      <c r="Z40" s="41">
        <f>-IF(Inputs!$G$34="simple",0,IF(Z$2&gt;Inputs!$G$19,0,Inputs!$G$42*Z$34))</f>
        <v>-43704.335175833963</v>
      </c>
      <c r="AA40" s="41">
        <f>-IF(Inputs!$G$34="simple",0,IF(AA$2&gt;Inputs!$G$19,0,Inputs!$G$42*AA$34))</f>
        <v>0</v>
      </c>
      <c r="AB40" s="41">
        <f>-IF(Inputs!$G$34="simple",0,IF(AB$2&gt;Inputs!$G$19,0,Inputs!$G$42*AB$34))</f>
        <v>0</v>
      </c>
      <c r="AC40" s="41">
        <f>-IF(Inputs!$G$34="simple",0,IF(AC$2&gt;Inputs!$G$19,0,Inputs!$G$42*AC$34))</f>
        <v>0</v>
      </c>
      <c r="AD40" s="41">
        <f>-IF(Inputs!$G$34="simple",0,IF(AD$2&gt;Inputs!$G$19,0,Inputs!$G$42*AD$34))</f>
        <v>0</v>
      </c>
      <c r="AE40" s="41">
        <f>-IF(Inputs!$G$34="simple",0,IF(AE$2&gt;Inputs!$G$19,0,Inputs!$G$42*AE$34))</f>
        <v>0</v>
      </c>
      <c r="AF40" s="41">
        <f>-IF(Inputs!$G$34="simple",0,IF(AF$2&gt;Inputs!$G$19,0,Inputs!$G$42*AF$34))</f>
        <v>0</v>
      </c>
      <c r="AG40" s="41">
        <f>-IF(Inputs!$G$34="simple",0,IF(AG$2&gt;Inputs!$G$19,0,Inputs!$G$42*AG$34))</f>
        <v>0</v>
      </c>
      <c r="AH40" s="41">
        <f>-IF(Inputs!$G$34="simple",0,IF(AH$2&gt;Inputs!$G$19,0,Inputs!$G$42*AH$34))</f>
        <v>0</v>
      </c>
      <c r="AI40" s="41">
        <f>-IF(Inputs!$G$34="simple",0,IF(AI$2&gt;Inputs!$G$19,0,Inputs!$G$42*AI$34))</f>
        <v>0</v>
      </c>
      <c r="AJ40" s="41">
        <f>-IF(Inputs!$G$34="simple",0,IF(AJ$2&gt;Inputs!$G$19,0,Inputs!$G$42*AJ$34))</f>
        <v>0</v>
      </c>
    </row>
    <row r="41" spans="2:36" s="31" customFormat="1" ht="16">
      <c r="B41" s="31" t="s">
        <v>467</v>
      </c>
      <c r="E41" s="76" t="s">
        <v>0</v>
      </c>
      <c r="G41" s="41">
        <f>-IF(Inputs!$G$34="simple",0,IF(G$2&gt;Inputs!$G$19,0,(Inputs!$G$43*G$35)*(G7/1000000)*G10))</f>
        <v>-736393.19400000002</v>
      </c>
      <c r="H41" s="41">
        <f>-IF(Inputs!$G$34="simple",0,IF(H$2&gt;Inputs!$G$19,0,(Inputs!$G$43*H$35)*(H7/1000000)*H10))</f>
        <v>-766450.05906122457</v>
      </c>
      <c r="I41" s="41">
        <f>-IF(Inputs!$G$34="simple",0,IF(I$2&gt;Inputs!$G$19,0,(Inputs!$G$43*I$35)*(I7/1000000)*I10))</f>
        <v>-797733.73494127463</v>
      </c>
      <c r="J41" s="41">
        <f>-IF(Inputs!$G$34="simple",0,IF(J$2&gt;Inputs!$G$19,0,(Inputs!$G$43*J$35)*(J7/1000000)*J10))</f>
        <v>-830294.29555112228</v>
      </c>
      <c r="K41" s="41">
        <f>-IF(Inputs!$G$34="simple",0,IF(K$2&gt;Inputs!$G$19,0,(Inputs!$G$43*K$35)*(K7/1000000)*K10))</f>
        <v>-769909.25587467733</v>
      </c>
      <c r="L41" s="41">
        <f>-IF(Inputs!$G$34="simple",0,IF(L$2&gt;Inputs!$G$19,0,(Inputs!$G$43*L$35)*(L7/1000000)*L10))</f>
        <v>-801334.12346139876</v>
      </c>
      <c r="M41" s="41">
        <f>-IF(Inputs!$G$34="simple",0,IF(M$2&gt;Inputs!$G$19,0,(Inputs!$G$43*M$35)*(M7/1000000)*M10))</f>
        <v>-834041.63870472135</v>
      </c>
      <c r="N41" s="41">
        <f>-IF(Inputs!$G$34="simple",0,IF(N$2&gt;Inputs!$G$19,0,(Inputs!$G$43*N$35)*(N7/1000000)*N10))</f>
        <v>-868084.15457022015</v>
      </c>
      <c r="O41" s="41">
        <f>-IF(Inputs!$G$34="simple",0,IF(O$2&gt;Inputs!$G$19,0,(Inputs!$G$43*O$35)*(O7/1000000)*O10))</f>
        <v>-903516.16087920871</v>
      </c>
      <c r="P41" s="41">
        <f>-IF(Inputs!$G$34="simple",0,IF(P$2&gt;Inputs!$G$19,0,(Inputs!$G$43*P$35)*(P7/1000000)*P10))</f>
        <v>-837805.89463344798</v>
      </c>
      <c r="Q41" s="41">
        <f>-IF(Inputs!$G$34="simple",0,IF(Q$2&gt;Inputs!$G$19,0,(Inputs!$G$43*Q$35)*(Q7/1000000)*Q10))</f>
        <v>-872002.05359807855</v>
      </c>
      <c r="R41" s="41">
        <f>-IF(Inputs!$G$34="simple",0,IF(R$2&gt;Inputs!$G$19,0,(Inputs!$G$43*R$35)*(R7/1000000)*R10))</f>
        <v>-907593.97415310226</v>
      </c>
      <c r="S41" s="41">
        <f>-IF(Inputs!$G$34="simple",0,IF(S$2&gt;Inputs!$G$19,0,(Inputs!$G$43*S$35)*(S7/1000000)*S10))</f>
        <v>-944638.6261593512</v>
      </c>
      <c r="T41" s="41">
        <f>-IF(Inputs!$G$34="simple",0,IF(T$2&gt;Inputs!$G$19,0,(Inputs!$G$43*T$35)*(T7/1000000)*T10))</f>
        <v>-983195.30477810022</v>
      </c>
      <c r="U41" s="41">
        <f>-IF(Inputs!$G$34="simple",0,IF(U$2&gt;Inputs!$G$19,0,(Inputs!$G$43*U$35)*(U7/1000000)*U10))</f>
        <v>-911690.19170332933</v>
      </c>
      <c r="V41" s="41">
        <f>-IF(Inputs!$G$34="simple",0,IF(V$2&gt;Inputs!$G$19,0,(Inputs!$G$43*V$35)*(V7/1000000)*V10))</f>
        <v>-948902.036262649</v>
      </c>
      <c r="W41" s="41">
        <f>-IF(Inputs!$G$34="simple",0,IF(W$2&gt;Inputs!$G$19,0,(Inputs!$G$43*W$35)*(W7/1000000)*W10))</f>
        <v>-987632.7316203079</v>
      </c>
      <c r="X41" s="41">
        <f>-IF(Inputs!$G$34="simple",0,IF(X$2&gt;Inputs!$G$19,0,(Inputs!$G$43*X$35)*(X7/1000000)*X10))</f>
        <v>-1027944.2716864434</v>
      </c>
      <c r="Y41" s="41">
        <f>-IF(Inputs!$G$34="simple",0,IF(Y$2&gt;Inputs!$G$19,0,(Inputs!$G$43*Y$35)*(Y7/1000000)*Y10))</f>
        <v>-1069901.1807348696</v>
      </c>
      <c r="Z41" s="41">
        <f>-IF(Inputs!$G$34="simple",0,IF(Z$2&gt;Inputs!$G$19,0,(Inputs!$G$43*Z$35)*(Z7/1000000)*Z10))</f>
        <v>-992090.18577233353</v>
      </c>
      <c r="AA41" s="41">
        <f>-IF(Inputs!$G$34="simple",0,IF(AA$2&gt;Inputs!$G$19,0,(Inputs!$G$43*AA$35)*(AA7/1000000)*AA10))</f>
        <v>0</v>
      </c>
      <c r="AB41" s="41">
        <f>-IF(Inputs!$G$34="simple",0,IF(AB$2&gt;Inputs!$G$19,0,(Inputs!$G$43*AB$35)*(AB7/1000000)*AB10))</f>
        <v>0</v>
      </c>
      <c r="AC41" s="41">
        <f>-IF(Inputs!$G$34="simple",0,IF(AC$2&gt;Inputs!$G$19,0,(Inputs!$G$43*AC$35)*(AC7/1000000)*AC10))</f>
        <v>0</v>
      </c>
      <c r="AD41" s="41">
        <f>-IF(Inputs!$G$34="simple",0,IF(AD$2&gt;Inputs!$G$19,0,(Inputs!$G$43*AD$35)*(AD7/1000000)*AD10))</f>
        <v>0</v>
      </c>
      <c r="AE41" s="41">
        <f>-IF(Inputs!$G$34="simple",0,IF(AE$2&gt;Inputs!$G$19,0,(Inputs!$G$43*AE$35)*(AE7/1000000)*AE10))</f>
        <v>0</v>
      </c>
      <c r="AF41" s="41">
        <f>-IF(Inputs!$G$34="simple",0,IF(AF$2&gt;Inputs!$G$19,0,(Inputs!$G$43*AF$35)*(AF7/1000000)*AF10))</f>
        <v>0</v>
      </c>
      <c r="AG41" s="41">
        <f>-IF(Inputs!$G$34="simple",0,IF(AG$2&gt;Inputs!$G$19,0,(Inputs!$G$43*AG$35)*(AG7/1000000)*AG10))</f>
        <v>0</v>
      </c>
      <c r="AH41" s="41">
        <f>-IF(Inputs!$G$34="simple",0,IF(AH$2&gt;Inputs!$G$19,0,(Inputs!$G$43*AH$35)*(AH7/1000000)*AH10))</f>
        <v>0</v>
      </c>
      <c r="AI41" s="41">
        <f>-IF(Inputs!$G$34="simple",0,IF(AI$2&gt;Inputs!$G$19,0,(Inputs!$G$43*AI$35)*(AI7/1000000)*AI10))</f>
        <v>0</v>
      </c>
      <c r="AJ41" s="41">
        <f>-IF(Inputs!$G$34="simple",0,IF(AJ$2&gt;Inputs!$G$19,0,(Inputs!$G$43*AJ$35)*(AJ7/1000000)*AJ10))</f>
        <v>0</v>
      </c>
    </row>
    <row r="42" spans="2:36" s="29" customFormat="1" ht="16">
      <c r="B42" s="29" t="s">
        <v>110</v>
      </c>
      <c r="E42" s="76" t="s">
        <v>0</v>
      </c>
      <c r="G42" s="84">
        <f>IF(Inputs!$G$34="simple",0,IF(G$2&gt;Inputs!$G$19,0,-Inputs!$G$45))</f>
        <v>0</v>
      </c>
      <c r="H42" s="84">
        <f>IF(Inputs!$G$34="simple",0,IF(H$2&gt;Inputs!$G$19,0,G42*(1+Inputs!$G$46)))</f>
        <v>0</v>
      </c>
      <c r="I42" s="84">
        <f>IF(Inputs!$G$34="simple",0,IF(I$2&gt;Inputs!$G$19,0,H42*(1+Inputs!$G$46)))</f>
        <v>0</v>
      </c>
      <c r="J42" s="84">
        <f>IF(Inputs!$G$34="simple",0,IF(J$2&gt;Inputs!$G$19,0,I42*(1+Inputs!$G$46)))</f>
        <v>0</v>
      </c>
      <c r="K42" s="84">
        <f>IF(Inputs!$G$34="simple",0,IF(K$2&gt;Inputs!$G$19,0,J42*(1+Inputs!$G$46)))</f>
        <v>0</v>
      </c>
      <c r="L42" s="84">
        <f>IF(Inputs!$G$34="simple",0,IF(L$2&gt;Inputs!$G$19,0,K42*(1+Inputs!$G$46)))</f>
        <v>0</v>
      </c>
      <c r="M42" s="84">
        <f>IF(Inputs!$G$34="simple",0,IF(M$2&gt;Inputs!$G$19,0,L42*(1+Inputs!$G$46)))</f>
        <v>0</v>
      </c>
      <c r="N42" s="84">
        <f>IF(Inputs!$G$34="simple",0,IF(N$2&gt;Inputs!$G$19,0,M42*(1+Inputs!$G$46)))</f>
        <v>0</v>
      </c>
      <c r="O42" s="84">
        <f>IF(Inputs!$G$34="simple",0,IF(O$2&gt;Inputs!$G$19,0,N42*(1+Inputs!$G$46)))</f>
        <v>0</v>
      </c>
      <c r="P42" s="84">
        <f>IF(Inputs!$G$34="simple",0,IF(P$2&gt;Inputs!$G$19,0,O42*(1+Inputs!$G$46)))</f>
        <v>0</v>
      </c>
      <c r="Q42" s="84">
        <f>IF(Inputs!$G$34="simple",0,IF(Q$2&gt;Inputs!$G$19,0,P42*(1+Inputs!$G$46)))</f>
        <v>0</v>
      </c>
      <c r="R42" s="84">
        <f>IF(Inputs!$G$34="simple",0,IF(R$2&gt;Inputs!$G$19,0,Q42*(1+Inputs!$G$46)))</f>
        <v>0</v>
      </c>
      <c r="S42" s="84">
        <f>IF(Inputs!$G$34="simple",0,IF(S$2&gt;Inputs!$G$19,0,R42*(1+Inputs!$G$46)))</f>
        <v>0</v>
      </c>
      <c r="T42" s="84">
        <f>IF(Inputs!$G$34="simple",0,IF(T$2&gt;Inputs!$G$19,0,S42*(1+Inputs!$G$46)))</f>
        <v>0</v>
      </c>
      <c r="U42" s="84">
        <f>IF(Inputs!$G$34="simple",0,IF(U$2&gt;Inputs!$G$19,0,T42*(1+Inputs!$G$46)))</f>
        <v>0</v>
      </c>
      <c r="V42" s="84">
        <f>IF(Inputs!$G$34="simple",0,IF(V$2&gt;Inputs!$G$19,0,U42*(1+Inputs!$G$46)))</f>
        <v>0</v>
      </c>
      <c r="W42" s="84">
        <f>IF(Inputs!$G$34="simple",0,IF(W$2&gt;Inputs!$G$19,0,V42*(1+Inputs!$G$46)))</f>
        <v>0</v>
      </c>
      <c r="X42" s="84">
        <f>IF(Inputs!$G$34="simple",0,IF(X$2&gt;Inputs!$G$19,0,W42*(1+Inputs!$G$46)))</f>
        <v>0</v>
      </c>
      <c r="Y42" s="84">
        <f>IF(Inputs!$G$34="simple",0,IF(Y$2&gt;Inputs!$G$19,0,X42*(1+Inputs!$G$46)))</f>
        <v>0</v>
      </c>
      <c r="Z42" s="84">
        <f>IF(Inputs!$G$34="simple",0,IF(Z$2&gt;Inputs!$G$19,0,Y42*(1+Inputs!$G$46)))</f>
        <v>0</v>
      </c>
      <c r="AA42" s="84">
        <f>IF(Inputs!$G$34="simple",0,IF(AA$2&gt;Inputs!$G$19,0,Z42*(1+Inputs!$G$46)))</f>
        <v>0</v>
      </c>
      <c r="AB42" s="84">
        <f>IF(Inputs!$G$34="simple",0,IF(AB$2&gt;Inputs!$G$19,0,AA42*(1+Inputs!$G$46)))</f>
        <v>0</v>
      </c>
      <c r="AC42" s="84">
        <f>IF(Inputs!$G$34="simple",0,IF(AC$2&gt;Inputs!$G$19,0,AB42*(1+Inputs!$G$46)))</f>
        <v>0</v>
      </c>
      <c r="AD42" s="84">
        <f>IF(Inputs!$G$34="simple",0,IF(AD$2&gt;Inputs!$G$19,0,AC42*(1+Inputs!$G$46)))</f>
        <v>0</v>
      </c>
      <c r="AE42" s="84">
        <f>IF(Inputs!$G$34="simple",0,IF(AE$2&gt;Inputs!$G$19,0,AD42*(1+Inputs!$G$46)))</f>
        <v>0</v>
      </c>
      <c r="AF42" s="84">
        <f>IF(Inputs!$G$34="simple",0,IF(AF$2&gt;Inputs!$G$19,0,AE42*(1+Inputs!$G$46)))</f>
        <v>0</v>
      </c>
      <c r="AG42" s="84">
        <f>IF(Inputs!$G$34="simple",0,IF(AG$2&gt;Inputs!$G$19,0,AF42*(1+Inputs!$G$46)))</f>
        <v>0</v>
      </c>
      <c r="AH42" s="84">
        <f>IF(Inputs!$G$34="simple",0,IF(AH$2&gt;Inputs!$G$19,0,AG42*(1+Inputs!$G$46)))</f>
        <v>0</v>
      </c>
      <c r="AI42" s="84">
        <f>IF(Inputs!$G$34="simple",0,IF(AI$2&gt;Inputs!$G$19,0,AH42*(1+Inputs!$G$46)))</f>
        <v>0</v>
      </c>
      <c r="AJ42" s="84">
        <f>IF(Inputs!$G$34="simple",0,IF(AJ$2&gt;Inputs!$G$19,0,AI42*(1+Inputs!$G$46)))</f>
        <v>0</v>
      </c>
    </row>
    <row r="43" spans="2:36" s="29" customFormat="1" ht="16">
      <c r="B43" s="29" t="s">
        <v>325</v>
      </c>
      <c r="E43" s="76" t="s">
        <v>0</v>
      </c>
      <c r="G43" s="84">
        <f>IF(Inputs!$G$34="simple",0,IF(G$2&gt;Inputs!$G$19,0,-Inputs!$G$47*G$34))</f>
        <v>-25000</v>
      </c>
      <c r="H43" s="84">
        <f>IF(Inputs!$G$34="simple",0,IF(H$2&gt;Inputs!$G$19,0,-Inputs!$G$47*H$34))</f>
        <v>-25500</v>
      </c>
      <c r="I43" s="84">
        <f>IF(Inputs!$G$34="simple",0,IF(I$2&gt;Inputs!$G$19,0,-Inputs!$G$47*I$34))</f>
        <v>-26010</v>
      </c>
      <c r="J43" s="84">
        <f>IF(Inputs!$G$34="simple",0,IF(J$2&gt;Inputs!$G$19,0,-Inputs!$G$47*J$34))</f>
        <v>-26530.199999999997</v>
      </c>
      <c r="K43" s="84">
        <f>IF(Inputs!$G$34="simple",0,IF(K$2&gt;Inputs!$G$19,0,-Inputs!$G$47*K$34))</f>
        <v>-27060.804</v>
      </c>
      <c r="L43" s="84">
        <f>IF(Inputs!$G$34="simple",0,IF(L$2&gt;Inputs!$G$19,0,-Inputs!$G$47*L$34))</f>
        <v>-27602.020080000002</v>
      </c>
      <c r="M43" s="84">
        <f>IF(Inputs!$G$34="simple",0,IF(M$2&gt;Inputs!$G$19,0,-Inputs!$G$47*M$34))</f>
        <v>-28154.060481600001</v>
      </c>
      <c r="N43" s="84">
        <f>IF(Inputs!$G$34="simple",0,IF(N$2&gt;Inputs!$G$19,0,-Inputs!$G$47*N$34))</f>
        <v>-28717.141691232002</v>
      </c>
      <c r="O43" s="84">
        <f>IF(Inputs!$G$34="simple",0,IF(O$2&gt;Inputs!$G$19,0,-Inputs!$G$47*O$34))</f>
        <v>-29291.484525056643</v>
      </c>
      <c r="P43" s="84">
        <f>IF(Inputs!$G$34="simple",0,IF(P$2&gt;Inputs!$G$19,0,-Inputs!$G$47*P$34))</f>
        <v>-29877.314215557777</v>
      </c>
      <c r="Q43" s="84">
        <f>IF(Inputs!$G$34="simple",0,IF(Q$2&gt;Inputs!$G$19,0,-Inputs!$G$47*Q$34))</f>
        <v>-30474.860499868933</v>
      </c>
      <c r="R43" s="84">
        <f>IF(Inputs!$G$34="simple",0,IF(R$2&gt;Inputs!$G$19,0,-Inputs!$G$47*R$34))</f>
        <v>-31084.357709866312</v>
      </c>
      <c r="S43" s="84">
        <f>IF(Inputs!$G$34="simple",0,IF(S$2&gt;Inputs!$G$19,0,-Inputs!$G$47*S$34))</f>
        <v>-31706.044864063639</v>
      </c>
      <c r="T43" s="84">
        <f>IF(Inputs!$G$34="simple",0,IF(T$2&gt;Inputs!$G$19,0,-Inputs!$G$47*T$34))</f>
        <v>-32340.165761344906</v>
      </c>
      <c r="U43" s="84">
        <f>IF(Inputs!$G$34="simple",0,IF(U$2&gt;Inputs!$G$19,0,-Inputs!$G$47*U$34))</f>
        <v>-32986.969076571811</v>
      </c>
      <c r="V43" s="84">
        <f>IF(Inputs!$G$34="simple",0,IF(V$2&gt;Inputs!$G$19,0,-Inputs!$G$47*V$34))</f>
        <v>-33646.708458103247</v>
      </c>
      <c r="W43" s="84">
        <f>IF(Inputs!$G$34="simple",0,IF(W$2&gt;Inputs!$G$19,0,-Inputs!$G$47*W$34))</f>
        <v>-34319.642627265312</v>
      </c>
      <c r="X43" s="84">
        <f>IF(Inputs!$G$34="simple",0,IF(X$2&gt;Inputs!$G$19,0,-Inputs!$G$47*X$34))</f>
        <v>-35006.03547981062</v>
      </c>
      <c r="Y43" s="84">
        <f>IF(Inputs!$G$34="simple",0,IF(Y$2&gt;Inputs!$G$19,0,-Inputs!$G$47*Y$34))</f>
        <v>-35706.156189406836</v>
      </c>
      <c r="Z43" s="84">
        <f>IF(Inputs!$G$34="simple",0,IF(Z$2&gt;Inputs!$G$19,0,-Inputs!$G$47*Z$34))</f>
        <v>-36420.279313194973</v>
      </c>
      <c r="AA43" s="84">
        <f>IF(Inputs!$G$34="simple",0,IF(AA$2&gt;Inputs!$G$19,0,-Inputs!$G$47*AA$34))</f>
        <v>0</v>
      </c>
      <c r="AB43" s="84">
        <f>IF(Inputs!$G$34="simple",0,IF(AB$2&gt;Inputs!$G$19,0,-Inputs!$G$47*AB$34))</f>
        <v>0</v>
      </c>
      <c r="AC43" s="84">
        <f>IF(Inputs!$G$34="simple",0,IF(AC$2&gt;Inputs!$G$19,0,-Inputs!$G$47*AC$34))</f>
        <v>0</v>
      </c>
      <c r="AD43" s="84">
        <f>IF(Inputs!$G$34="simple",0,IF(AD$2&gt;Inputs!$G$19,0,-Inputs!$G$47*AD$34))</f>
        <v>0</v>
      </c>
      <c r="AE43" s="84">
        <f>IF(Inputs!$G$34="simple",0,IF(AE$2&gt;Inputs!$G$19,0,-Inputs!$G$47*AE$34))</f>
        <v>0</v>
      </c>
      <c r="AF43" s="84">
        <f>IF(Inputs!$G$34="simple",0,IF(AF$2&gt;Inputs!$G$19,0,-Inputs!$G$47*AF$34))</f>
        <v>0</v>
      </c>
      <c r="AG43" s="84">
        <f>IF(Inputs!$G$34="simple",0,IF(AG$2&gt;Inputs!$G$19,0,-Inputs!$G$47*AG$34))</f>
        <v>0</v>
      </c>
      <c r="AH43" s="84">
        <f>IF(Inputs!$G$34="simple",0,IF(AH$2&gt;Inputs!$G$19,0,-Inputs!$G$47*AH$34))</f>
        <v>0</v>
      </c>
      <c r="AI43" s="84">
        <f>IF(Inputs!$G$34="simple",0,IF(AI$2&gt;Inputs!$G$19,0,-Inputs!$G$47*AI$34))</f>
        <v>0</v>
      </c>
      <c r="AJ43" s="84">
        <f>IF(Inputs!$G$34="simple",0,IF(AJ$2&gt;Inputs!$G$19,0,-Inputs!$G$47*AJ$34))</f>
        <v>0</v>
      </c>
    </row>
    <row r="44" spans="2:36" s="29" customFormat="1" ht="16">
      <c r="B44" s="40" t="s">
        <v>111</v>
      </c>
      <c r="C44" s="40"/>
      <c r="D44" s="40"/>
      <c r="E44" s="80" t="s">
        <v>0</v>
      </c>
      <c r="F44" s="40"/>
      <c r="G44" s="53">
        <f>-IF(Inputs!$G$34="simple",0,IF(G$2&gt;Inputs!$G$19,0,Inputs!$G$48*(G$22+G$24+G$26+G$28)))</f>
        <v>0</v>
      </c>
      <c r="H44" s="53">
        <f>-IF(Inputs!$G$34="simple",0,IF(H$2&gt;Inputs!$G$19,0,Inputs!$G$48*(H$22+H$24+H$26+H$28)))</f>
        <v>0</v>
      </c>
      <c r="I44" s="53">
        <f>-IF(Inputs!$G$34="simple",0,IF(I$2&gt;Inputs!$G$19,0,Inputs!$G$48*(I$22+I$24+I$26+I$28)))</f>
        <v>0</v>
      </c>
      <c r="J44" s="53">
        <f>-IF(Inputs!$G$34="simple",0,IF(J$2&gt;Inputs!$G$19,0,Inputs!$G$48*(J$22+J$24+J$26+J$28)))</f>
        <v>0</v>
      </c>
      <c r="K44" s="53">
        <f>-IF(Inputs!$G$34="simple",0,IF(K$2&gt;Inputs!$G$19,0,Inputs!$G$48*(K$22+K$24+K$26+K$28)))</f>
        <v>0</v>
      </c>
      <c r="L44" s="53">
        <f>-IF(Inputs!$G$34="simple",0,IF(L$2&gt;Inputs!$G$19,0,Inputs!$G$48*(L$22+L$24+L$26+L$28)))</f>
        <v>0</v>
      </c>
      <c r="M44" s="53">
        <f>-IF(Inputs!$G$34="simple",0,IF(M$2&gt;Inputs!$G$19,0,Inputs!$G$48*(M$22+M$24+M$26+M$28)))</f>
        <v>0</v>
      </c>
      <c r="N44" s="53">
        <f>-IF(Inputs!$G$34="simple",0,IF(N$2&gt;Inputs!$G$19,0,Inputs!$G$48*(N$22+N$24+N$26+N$28)))</f>
        <v>0</v>
      </c>
      <c r="O44" s="53">
        <f>-IF(Inputs!$G$34="simple",0,IF(O$2&gt;Inputs!$G$19,0,Inputs!$G$48*(O$22+O$24+O$26+O$28)))</f>
        <v>0</v>
      </c>
      <c r="P44" s="53">
        <f>-IF(Inputs!$G$34="simple",0,IF(P$2&gt;Inputs!$G$19,0,Inputs!$G$48*(P$22+P$24+P$26+P$28)))</f>
        <v>0</v>
      </c>
      <c r="Q44" s="53">
        <f>-IF(Inputs!$G$34="simple",0,IF(Q$2&gt;Inputs!$G$19,0,Inputs!$G$48*(Q$22+Q$24+Q$26+Q$28)))</f>
        <v>0</v>
      </c>
      <c r="R44" s="53">
        <f>-IF(Inputs!$G$34="simple",0,IF(R$2&gt;Inputs!$G$19,0,Inputs!$G$48*(R$22+R$24+R$26+R$28)))</f>
        <v>0</v>
      </c>
      <c r="S44" s="53">
        <f>-IF(Inputs!$G$34="simple",0,IF(S$2&gt;Inputs!$G$19,0,Inputs!$G$48*(S$22+S$24+S$26+S$28)))</f>
        <v>0</v>
      </c>
      <c r="T44" s="53">
        <f>-IF(Inputs!$G$34="simple",0,IF(T$2&gt;Inputs!$G$19,0,Inputs!$G$48*(T$22+T$24+T$26+T$28)))</f>
        <v>0</v>
      </c>
      <c r="U44" s="53">
        <f>-IF(Inputs!$G$34="simple",0,IF(U$2&gt;Inputs!$G$19,0,Inputs!$G$48*(U$22+U$24+U$26+U$28)))</f>
        <v>0</v>
      </c>
      <c r="V44" s="53">
        <f>-IF(Inputs!$G$34="simple",0,IF(V$2&gt;Inputs!$G$19,0,Inputs!$G$48*(V$22+V$24+V$26+V$28)))</f>
        <v>0</v>
      </c>
      <c r="W44" s="53">
        <f>-IF(Inputs!$G$34="simple",0,IF(W$2&gt;Inputs!$G$19,0,Inputs!$G$48*(W$22+W$24+W$26+W$28)))</f>
        <v>0</v>
      </c>
      <c r="X44" s="53">
        <f>-IF(Inputs!$G$34="simple",0,IF(X$2&gt;Inputs!$G$19,0,Inputs!$G$48*(X$22+X$24+X$26+X$28)))</f>
        <v>0</v>
      </c>
      <c r="Y44" s="53">
        <f>-IF(Inputs!$G$34="simple",0,IF(Y$2&gt;Inputs!$G$19,0,Inputs!$G$48*(Y$22+Y$24+Y$26+Y$28)))</f>
        <v>0</v>
      </c>
      <c r="Z44" s="53">
        <f>-IF(Inputs!$G$34="simple",0,IF(Z$2&gt;Inputs!$G$19,0,Inputs!$G$48*(Z$22+Z$24+Z$26+Z$28)))</f>
        <v>0</v>
      </c>
      <c r="AA44" s="53">
        <f>-IF(Inputs!$G$34="simple",0,IF(AA$2&gt;Inputs!$G$19,0,Inputs!$G$48*(AA$22+AA$24+AA$26+AA$28)))</f>
        <v>0</v>
      </c>
      <c r="AB44" s="53">
        <f>-IF(Inputs!$G$34="simple",0,IF(AB$2&gt;Inputs!$G$19,0,Inputs!$G$48*(AB$22+AB$24+AB$26+AB$28)))</f>
        <v>0</v>
      </c>
      <c r="AC44" s="53">
        <f>-IF(Inputs!$G$34="simple",0,IF(AC$2&gt;Inputs!$G$19,0,Inputs!$G$48*(AC$22+AC$24+AC$26+AC$28)))</f>
        <v>0</v>
      </c>
      <c r="AD44" s="53">
        <f>-IF(Inputs!$G$34="simple",0,IF(AD$2&gt;Inputs!$G$19,0,Inputs!$G$48*(AD$22+AD$24+AD$26+AD$28)))</f>
        <v>0</v>
      </c>
      <c r="AE44" s="53">
        <f>-IF(Inputs!$G$34="simple",0,IF(AE$2&gt;Inputs!$G$19,0,Inputs!$G$48*(AE$22+AE$24+AE$26+AE$28)))</f>
        <v>0</v>
      </c>
      <c r="AF44" s="53">
        <f>-IF(Inputs!$G$34="simple",0,IF(AF$2&gt;Inputs!$G$19,0,Inputs!$G$48*(AF$22+AF$24+AF$26+AF$28)))</f>
        <v>0</v>
      </c>
      <c r="AG44" s="53">
        <f>-IF(Inputs!$G$34="simple",0,IF(AG$2&gt;Inputs!$G$19,0,Inputs!$G$48*(AG$22+AG$24+AG$26+AG$28)))</f>
        <v>0</v>
      </c>
      <c r="AH44" s="53">
        <f>-IF(Inputs!$G$34="simple",0,IF(AH$2&gt;Inputs!$G$19,0,Inputs!$G$48*(AH$22+AH$24+AH$26+AH$28)))</f>
        <v>0</v>
      </c>
      <c r="AI44" s="53">
        <f>-IF(Inputs!$G$34="simple",0,IF(AI$2&gt;Inputs!$G$19,0,Inputs!$G$48*(AI$22+AI$24+AI$26+AI$28)))</f>
        <v>0</v>
      </c>
      <c r="AJ44" s="53">
        <f>-IF(Inputs!$G$34="simple",0,IF(AJ$2&gt;Inputs!$G$19,0,Inputs!$G$48*(AJ$22+AJ$24+AJ$26+AJ$28)))</f>
        <v>0</v>
      </c>
    </row>
    <row r="45" spans="2:36" s="29" customFormat="1" ht="16">
      <c r="B45" s="43" t="s">
        <v>114</v>
      </c>
      <c r="C45" s="43"/>
      <c r="D45" s="43"/>
      <c r="E45" s="81" t="s">
        <v>0</v>
      </c>
      <c r="F45" s="34"/>
      <c r="G45" s="44">
        <f>SUM(G37:G44)</f>
        <v>-1755905.6940000001</v>
      </c>
      <c r="H45" s="44">
        <f t="shared" ref="H45:AJ45" si="7">SUM(H37:H44)</f>
        <v>-1806352.8090612246</v>
      </c>
      <c r="I45" s="44">
        <f t="shared" si="7"/>
        <v>-1858434.5399412746</v>
      </c>
      <c r="J45" s="44">
        <f t="shared" si="7"/>
        <v>-1912209.1166511222</v>
      </c>
      <c r="K45" s="44">
        <f t="shared" si="7"/>
        <v>-1873462.3733966774</v>
      </c>
      <c r="L45" s="44">
        <f t="shared" si="7"/>
        <v>-1926958.3033338387</v>
      </c>
      <c r="M45" s="44">
        <f t="shared" si="7"/>
        <v>-1982178.3021746103</v>
      </c>
      <c r="N45" s="44">
        <f t="shared" si="7"/>
        <v>-2039183.5513095069</v>
      </c>
      <c r="O45" s="44">
        <f t="shared" si="7"/>
        <v>-2098037.5455532814</v>
      </c>
      <c r="P45" s="44">
        <f t="shared" si="7"/>
        <v>-2056217.707001002</v>
      </c>
      <c r="Q45" s="44">
        <f t="shared" si="7"/>
        <v>-2114782.1022129836</v>
      </c>
      <c r="R45" s="44">
        <f t="shared" si="7"/>
        <v>-2175229.6237403057</v>
      </c>
      <c r="S45" s="44">
        <f t="shared" si="7"/>
        <v>-2237626.9887382984</v>
      </c>
      <c r="T45" s="44">
        <f t="shared" si="7"/>
        <v>-2302043.4346086262</v>
      </c>
      <c r="U45" s="44">
        <f t="shared" si="7"/>
        <v>-2256915.2841304662</v>
      </c>
      <c r="V45" s="44">
        <f t="shared" si="7"/>
        <v>-2321031.6305383286</v>
      </c>
      <c r="W45" s="44">
        <f t="shared" si="7"/>
        <v>-2387204.9177815006</v>
      </c>
      <c r="X45" s="44">
        <f t="shared" si="7"/>
        <v>-2455507.9015708603</v>
      </c>
      <c r="Y45" s="44">
        <f t="shared" si="7"/>
        <v>-2526016.083216975</v>
      </c>
      <c r="Z45" s="44">
        <f t="shared" si="7"/>
        <v>-2477327.386304081</v>
      </c>
      <c r="AA45" s="44">
        <f t="shared" si="7"/>
        <v>0</v>
      </c>
      <c r="AB45" s="44">
        <f t="shared" si="7"/>
        <v>0</v>
      </c>
      <c r="AC45" s="44">
        <f t="shared" si="7"/>
        <v>0</v>
      </c>
      <c r="AD45" s="44">
        <f t="shared" si="7"/>
        <v>0</v>
      </c>
      <c r="AE45" s="44">
        <f t="shared" si="7"/>
        <v>0</v>
      </c>
      <c r="AF45" s="44">
        <f t="shared" si="7"/>
        <v>0</v>
      </c>
      <c r="AG45" s="44">
        <f t="shared" si="7"/>
        <v>0</v>
      </c>
      <c r="AH45" s="44">
        <f t="shared" si="7"/>
        <v>0</v>
      </c>
      <c r="AI45" s="44">
        <f t="shared" si="7"/>
        <v>0</v>
      </c>
      <c r="AJ45" s="44">
        <f t="shared" si="7"/>
        <v>0</v>
      </c>
    </row>
    <row r="46" spans="2:36" s="29" customFormat="1" ht="16" hidden="1">
      <c r="B46" s="43"/>
      <c r="C46" s="43"/>
      <c r="D46" s="43"/>
      <c r="E46" s="81"/>
      <c r="F46" s="34"/>
      <c r="G46" s="44">
        <f>IF(G45=0,"",G45)</f>
        <v>-1755905.6940000001</v>
      </c>
      <c r="H46" s="44">
        <f t="shared" ref="H46:AJ46" si="8">IF(H45=0,"",H45)</f>
        <v>-1806352.8090612246</v>
      </c>
      <c r="I46" s="44">
        <f t="shared" si="8"/>
        <v>-1858434.5399412746</v>
      </c>
      <c r="J46" s="44">
        <f t="shared" si="8"/>
        <v>-1912209.1166511222</v>
      </c>
      <c r="K46" s="44">
        <f t="shared" si="8"/>
        <v>-1873462.3733966774</v>
      </c>
      <c r="L46" s="44">
        <f t="shared" si="8"/>
        <v>-1926958.3033338387</v>
      </c>
      <c r="M46" s="44">
        <f t="shared" si="8"/>
        <v>-1982178.3021746103</v>
      </c>
      <c r="N46" s="44">
        <f t="shared" si="8"/>
        <v>-2039183.5513095069</v>
      </c>
      <c r="O46" s="44">
        <f t="shared" si="8"/>
        <v>-2098037.5455532814</v>
      </c>
      <c r="P46" s="44">
        <f t="shared" si="8"/>
        <v>-2056217.707001002</v>
      </c>
      <c r="Q46" s="44">
        <f t="shared" si="8"/>
        <v>-2114782.1022129836</v>
      </c>
      <c r="R46" s="44">
        <f t="shared" si="8"/>
        <v>-2175229.6237403057</v>
      </c>
      <c r="S46" s="44">
        <f t="shared" si="8"/>
        <v>-2237626.9887382984</v>
      </c>
      <c r="T46" s="44">
        <f t="shared" si="8"/>
        <v>-2302043.4346086262</v>
      </c>
      <c r="U46" s="44">
        <f t="shared" si="8"/>
        <v>-2256915.2841304662</v>
      </c>
      <c r="V46" s="44">
        <f t="shared" si="8"/>
        <v>-2321031.6305383286</v>
      </c>
      <c r="W46" s="44">
        <f t="shared" si="8"/>
        <v>-2387204.9177815006</v>
      </c>
      <c r="X46" s="44">
        <f t="shared" si="8"/>
        <v>-2455507.9015708603</v>
      </c>
      <c r="Y46" s="44">
        <f t="shared" si="8"/>
        <v>-2526016.083216975</v>
      </c>
      <c r="Z46" s="44">
        <f t="shared" si="8"/>
        <v>-2477327.386304081</v>
      </c>
      <c r="AA46" s="44" t="str">
        <f t="shared" si="8"/>
        <v/>
      </c>
      <c r="AB46" s="44" t="str">
        <f t="shared" si="8"/>
        <v/>
      </c>
      <c r="AC46" s="44" t="str">
        <f t="shared" si="8"/>
        <v/>
      </c>
      <c r="AD46" s="44" t="str">
        <f t="shared" si="8"/>
        <v/>
      </c>
      <c r="AE46" s="44" t="str">
        <f t="shared" si="8"/>
        <v/>
      </c>
      <c r="AF46" s="44" t="str">
        <f t="shared" si="8"/>
        <v/>
      </c>
      <c r="AG46" s="44" t="str">
        <f t="shared" si="8"/>
        <v/>
      </c>
      <c r="AH46" s="44" t="str">
        <f t="shared" si="8"/>
        <v/>
      </c>
      <c r="AI46" s="44" t="str">
        <f t="shared" si="8"/>
        <v/>
      </c>
      <c r="AJ46" s="44" t="str">
        <f t="shared" si="8"/>
        <v/>
      </c>
    </row>
    <row r="47" spans="2:36" s="29" customFormat="1" ht="16">
      <c r="B47" s="45" t="s">
        <v>114</v>
      </c>
      <c r="C47" s="45"/>
      <c r="D47" s="45"/>
      <c r="E47" s="79" t="s">
        <v>52</v>
      </c>
      <c r="F47" s="46"/>
      <c r="G47" s="691">
        <f>IF(G$2&gt;Inputs!$G$19,0,G45*100/G10)</f>
        <v>-6.7798361400119083</v>
      </c>
      <c r="H47" s="691">
        <f>IF(H$2&gt;Inputs!$G$19,0,H45*100/H10)</f>
        <v>-6.9746206179141863</v>
      </c>
      <c r="I47" s="691">
        <f>IF(I$2&gt;Inputs!$G$19,0,I45*100/I10)</f>
        <v>-7.1757166121133693</v>
      </c>
      <c r="J47" s="691">
        <f>IF(J$2&gt;Inputs!$G$19,0,J45*100/J10)</f>
        <v>-7.3833489581084111</v>
      </c>
      <c r="K47" s="691">
        <f>IF(K$2&gt;Inputs!$G$19,0,K45*100/K10)</f>
        <v>-7.2337415098713578</v>
      </c>
      <c r="L47" s="691">
        <f>IF(L$2&gt;Inputs!$G$19,0,L45*100/L10)</f>
        <v>-7.4402979555682149</v>
      </c>
      <c r="M47" s="691">
        <f>IF(M$2&gt;Inputs!$G$19,0,M45*100/M10)</f>
        <v>-7.6535113104034753</v>
      </c>
      <c r="N47" s="691">
        <f>IF(N$2&gt;Inputs!$G$19,0,N45*100/N10)</f>
        <v>-7.8736178056302952</v>
      </c>
      <c r="O47" s="691">
        <f>IF(O$2&gt;Inputs!$G$19,0,O45*100/O10)</f>
        <v>-8.1008626050073147</v>
      </c>
      <c r="P47" s="691">
        <f>IF(P$2&gt;Inputs!$G$19,0,P45*100/P10)</f>
        <v>-7.939389438336093</v>
      </c>
      <c r="Q47" s="691">
        <f>IF(Q$2&gt;Inputs!$G$19,0,Q45*100/Q10)</f>
        <v>-8.1655160489695078</v>
      </c>
      <c r="R47" s="691">
        <f>IF(R$2&gt;Inputs!$G$19,0,R45*100/R10)</f>
        <v>-8.3989137151570894</v>
      </c>
      <c r="S47" s="691">
        <f>IF(S$2&gt;Inputs!$G$19,0,S45*100/S10)</f>
        <v>-8.6398400426361022</v>
      </c>
      <c r="T47" s="691">
        <f>IF(T$2&gt;Inputs!$G$19,0,T45*100/T10)</f>
        <v>-8.8885623682228925</v>
      </c>
      <c r="U47" s="691">
        <f>IF(U$2&gt;Inputs!$G$19,0,U45*100/U10)</f>
        <v>-8.7143152736384799</v>
      </c>
      <c r="V47" s="691">
        <f>IF(V$2&gt;Inputs!$G$19,0,V45*100/V10)</f>
        <v>-8.9618788666189744</v>
      </c>
      <c r="W47" s="691">
        <f>IF(W$2&gt;Inputs!$G$19,0,W45*100/W10)</f>
        <v>-9.2173846411532701</v>
      </c>
      <c r="X47" s="691">
        <f>IF(X$2&gt;Inputs!$G$19,0,X45*100/X10)</f>
        <v>-9.4811135188191482</v>
      </c>
      <c r="Y47" s="691">
        <f>IF(Y$2&gt;Inputs!$G$19,0,Y45*100/Y10)</f>
        <v>-9.7533570223992747</v>
      </c>
      <c r="Z47" s="691">
        <f>IF(Z$2&gt;Inputs!$G$19,0,Z45*100/Z10)</f>
        <v>-9.5653620816299068</v>
      </c>
      <c r="AA47" s="691">
        <f>IF(AA$2&gt;Inputs!$G$19,0,AA45*100/AA10)</f>
        <v>0</v>
      </c>
      <c r="AB47" s="691">
        <f>IF(AB$2&gt;Inputs!$G$19,0,AB45*100/AB10)</f>
        <v>0</v>
      </c>
      <c r="AC47" s="691">
        <f>IF(AC$2&gt;Inputs!$G$19,0,AC45*100/AC10)</f>
        <v>0</v>
      </c>
      <c r="AD47" s="691">
        <f>IF(AD$2&gt;Inputs!$G$19,0,AD45*100/AD10)</f>
        <v>0</v>
      </c>
      <c r="AE47" s="691">
        <f>IF(AE$2&gt;Inputs!$G$19,0,AE45*100/AE10)</f>
        <v>0</v>
      </c>
      <c r="AF47" s="691">
        <f>IF(AF$2&gt;Inputs!$G$19,0,AF45*100/AF10)</f>
        <v>0</v>
      </c>
      <c r="AG47" s="691">
        <f>IF(AG$2&gt;Inputs!$G$19,0,AG45*100/AG10)</f>
        <v>0</v>
      </c>
      <c r="AH47" s="691">
        <f>IF(AH$2&gt;Inputs!$G$19,0,AH45*100/AH10)</f>
        <v>0</v>
      </c>
      <c r="AI47" s="691">
        <f>IF(AI$2&gt;Inputs!$G$19,0,AI45*100/AI10)</f>
        <v>0</v>
      </c>
      <c r="AJ47" s="691">
        <f>IF(AJ$2&gt;Inputs!$G$19,0,AJ45*100/AJ10)</f>
        <v>0</v>
      </c>
    </row>
    <row r="48" spans="2:36" s="29" customFormat="1" ht="16">
      <c r="E48" s="79"/>
    </row>
    <row r="49" spans="1:36" s="29" customFormat="1" ht="16">
      <c r="B49" s="34" t="s">
        <v>115</v>
      </c>
      <c r="C49" s="34"/>
      <c r="D49" s="34"/>
      <c r="E49" s="76" t="s">
        <v>0</v>
      </c>
      <c r="F49" s="31"/>
      <c r="G49" s="44">
        <f t="shared" ref="G49:AJ49" si="9">G31+G45</f>
        <v>1594292.4202244109</v>
      </c>
      <c r="H49" s="44">
        <f t="shared" si="9"/>
        <v>1543845.3051631865</v>
      </c>
      <c r="I49" s="44">
        <f t="shared" si="9"/>
        <v>1491763.574283137</v>
      </c>
      <c r="J49" s="44">
        <f t="shared" si="9"/>
        <v>1437988.9975732879</v>
      </c>
      <c r="K49" s="44">
        <f t="shared" si="9"/>
        <v>1476735.7408277341</v>
      </c>
      <c r="L49" s="44">
        <f t="shared" si="9"/>
        <v>1423239.8108905724</v>
      </c>
      <c r="M49" s="44">
        <f t="shared" si="9"/>
        <v>1368019.8120498012</v>
      </c>
      <c r="N49" s="44">
        <f t="shared" si="9"/>
        <v>1311014.5629149042</v>
      </c>
      <c r="O49" s="44">
        <f t="shared" si="9"/>
        <v>1252160.5686711287</v>
      </c>
      <c r="P49" s="44">
        <f t="shared" si="9"/>
        <v>1293980.4072234095</v>
      </c>
      <c r="Q49" s="44">
        <f t="shared" si="9"/>
        <v>1235416.0120114279</v>
      </c>
      <c r="R49" s="44">
        <f t="shared" si="9"/>
        <v>1174968.4904841059</v>
      </c>
      <c r="S49" s="44">
        <f t="shared" si="9"/>
        <v>1112571.1254861127</v>
      </c>
      <c r="T49" s="44">
        <f t="shared" si="9"/>
        <v>1045043.0097464412</v>
      </c>
      <c r="U49" s="44">
        <f t="shared" si="9"/>
        <v>1087059.4903552583</v>
      </c>
      <c r="V49" s="44">
        <f t="shared" si="9"/>
        <v>1022943.143947396</v>
      </c>
      <c r="W49" s="44">
        <f t="shared" si="9"/>
        <v>956769.8567042225</v>
      </c>
      <c r="X49" s="44">
        <f t="shared" si="9"/>
        <v>888466.87291486422</v>
      </c>
      <c r="Y49" s="44">
        <f t="shared" si="9"/>
        <v>817958.69126874954</v>
      </c>
      <c r="Z49" s="44">
        <f t="shared" si="9"/>
        <v>858666.89593878109</v>
      </c>
      <c r="AA49" s="44">
        <f t="shared" si="9"/>
        <v>0</v>
      </c>
      <c r="AB49" s="44">
        <f t="shared" si="9"/>
        <v>0</v>
      </c>
      <c r="AC49" s="44">
        <f t="shared" si="9"/>
        <v>0</v>
      </c>
      <c r="AD49" s="44">
        <f t="shared" si="9"/>
        <v>0</v>
      </c>
      <c r="AE49" s="44">
        <f t="shared" si="9"/>
        <v>0</v>
      </c>
      <c r="AF49" s="44">
        <f t="shared" si="9"/>
        <v>0</v>
      </c>
      <c r="AG49" s="44">
        <f t="shared" si="9"/>
        <v>0</v>
      </c>
      <c r="AH49" s="44">
        <f t="shared" si="9"/>
        <v>0</v>
      </c>
      <c r="AI49" s="44">
        <f t="shared" si="9"/>
        <v>0</v>
      </c>
      <c r="AJ49" s="44">
        <f t="shared" si="9"/>
        <v>0</v>
      </c>
    </row>
    <row r="50" spans="1:36" s="29" customFormat="1" ht="16">
      <c r="B50" s="34"/>
      <c r="C50" s="34"/>
      <c r="D50" s="34"/>
      <c r="E50" s="76" t="s">
        <v>252</v>
      </c>
      <c r="F50" s="82" t="s">
        <v>188</v>
      </c>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row>
    <row r="51" spans="1:36" s="31" customFormat="1" ht="16">
      <c r="B51" s="47" t="s">
        <v>146</v>
      </c>
      <c r="C51" s="47"/>
      <c r="D51" s="47"/>
      <c r="E51" s="48">
        <f>IF(OR(Inputs!$G$57=0,Inputs!$G$57=""),"N/A",AVERAGE(G51:AJ51))</f>
        <v>1.6423283686601278</v>
      </c>
      <c r="F51" s="48">
        <f>IF(OR(Inputs!$G$57=0,Inputs!$G$57=""),"N/A",MIN(G51:AJ51))</f>
        <v>1.3408047433557295</v>
      </c>
      <c r="G51" s="48">
        <f>IF(OR(Inputs!$G$57=0,Inputs!$G$57=""),"N/A",IF(G$2&gt;Inputs!$G$58,"N/A",(G49+SUM(G57:G58))/-G95))</f>
        <v>1.9213466810034148</v>
      </c>
      <c r="H51" s="48">
        <f>IF(OR(Inputs!$G$57=0,Inputs!$G$57=""),"N/A",IF(H$2&gt;Inputs!$G$58,"N/A",(H49+SUM(H57:H58))/-H95))</f>
        <v>1.8605508095186603</v>
      </c>
      <c r="I51" s="48">
        <f>IF(OR(Inputs!$G$57=0,Inputs!$G$57=""),"N/A",IF(I$2&gt;Inputs!$G$58,"N/A",(I49+SUM(I57:I58))/-I95))</f>
        <v>1.7977849959841454</v>
      </c>
      <c r="J51" s="48">
        <f>IF(OR(Inputs!$G$57=0,Inputs!$G$57=""),"N/A",IF(J$2&gt;Inputs!$G$58,"N/A",(J49+SUM(J57:J58))/-J95))</f>
        <v>1.7329790650437671</v>
      </c>
      <c r="K51" s="48">
        <f>IF(OR(Inputs!$G$57=0,Inputs!$G$57=""),"N/A",IF(K$2&gt;Inputs!$G$58,"N/A",(K49+SUM(K57:K58))/-K95))</f>
        <v>1.7796743422759969</v>
      </c>
      <c r="L51" s="48">
        <f>IF(OR(Inputs!$G$57=0,Inputs!$G$57=""),"N/A",IF(L$2&gt;Inputs!$G$58,"N/A",(L49+SUM(L57:L58))/-L95))</f>
        <v>1.7152042199019033</v>
      </c>
      <c r="M51" s="48">
        <f>IF(OR(Inputs!$G$57=0,Inputs!$G$57=""),"N/A",IF(M$2&gt;Inputs!$G$58,"N/A",(M49+SUM(M57:M58))/-M95))</f>
        <v>1.6486563519249648</v>
      </c>
      <c r="N51" s="48">
        <f>IF(OR(Inputs!$G$57=0,Inputs!$G$57=""),"N/A",IF(N$2&gt;Inputs!$G$58,"N/A",(N49+SUM(N57:N58))/-N95))</f>
        <v>1.5799570061614754</v>
      </c>
      <c r="O51" s="48">
        <f>IF(OR(Inputs!$G$57=0,Inputs!$G$57=""),"N/A",IF(O$2&gt;Inputs!$G$58,"N/A",(O49+SUM(O57:O58))/-O95))</f>
        <v>1.5090296624260302</v>
      </c>
      <c r="P51" s="48">
        <f>IF(OR(Inputs!$G$57=0,Inputs!$G$57=""),"N/A",IF(P$2&gt;Inputs!$G$58,"N/A",(P49+SUM(P57:P58))/-P95))</f>
        <v>1.5594284518722052</v>
      </c>
      <c r="Q51" s="48">
        <f>IF(OR(Inputs!$G$57=0,Inputs!$G$57=""),"N/A",IF(Q$2&gt;Inputs!$G$58,"N/A",(Q49+SUM(Q57:Q58))/-Q95))</f>
        <v>1.4888501157162355</v>
      </c>
      <c r="R51" s="48">
        <f>IF(OR(Inputs!$G$57=0,Inputs!$G$57=""),"N/A",IF(R$2&gt;Inputs!$G$58,"N/A",(R49+SUM(R57:R58))/-R95))</f>
        <v>1.416002347397137</v>
      </c>
      <c r="S51" s="48">
        <f>IF(OR(Inputs!$G$57=0,Inputs!$G$57=""),"N/A",IF(S$2&gt;Inputs!$G$58,"N/A",(S49+SUM(S57:S58))/-S95))</f>
        <v>1.3408047433557295</v>
      </c>
      <c r="T51" s="48" t="str">
        <f>IF(OR(Inputs!$G$57=0,Inputs!$G$57=""),"N/A",IF(T$2&gt;Inputs!$G$58,"N/A",(T49+SUM(T57:T58))/-T95))</f>
        <v>N/A</v>
      </c>
      <c r="U51" s="48" t="str">
        <f>IF(OR(Inputs!$G$57=0,Inputs!$G$57=""),"N/A",IF(U$2&gt;Inputs!$G$58,"N/A",(U49+SUM(U57:U58))/-U95))</f>
        <v>N/A</v>
      </c>
      <c r="V51" s="48" t="str">
        <f>IF(OR(Inputs!$G$57=0,Inputs!$G$57=""),"N/A",IF(V$2&gt;Inputs!$G$58,"N/A",(V49+SUM(V57:V58))/-V95))</f>
        <v>N/A</v>
      </c>
      <c r="W51" s="48" t="str">
        <f>IF(OR(Inputs!$G$57=0,Inputs!$G$57=""),"N/A",IF(W$2&gt;Inputs!$G$58,"N/A",(W49+SUM(W57:W58))/-W95))</f>
        <v>N/A</v>
      </c>
      <c r="X51" s="48" t="str">
        <f>IF(OR(Inputs!$G$57=0,Inputs!$G$57=""),"N/A",IF(X$2&gt;Inputs!$G$58,"N/A",(X49+SUM(X57:X58))/-X95))</f>
        <v>N/A</v>
      </c>
      <c r="Y51" s="48" t="str">
        <f>IF(OR(Inputs!$G$57=0,Inputs!$G$57=""),"N/A",IF(Y$2&gt;Inputs!$G$58,"N/A",(Y49+SUM(Y57:Y58))/-Y95))</f>
        <v>N/A</v>
      </c>
      <c r="Z51" s="48" t="str">
        <f>IF(OR(Inputs!$G$57=0,Inputs!$G$57=""),"N/A",IF(Z$2&gt;Inputs!$G$58,"N/A",(Z49+SUM(Z57:Z58))/-Z95))</f>
        <v>N/A</v>
      </c>
      <c r="AA51" s="48" t="str">
        <f>IF(OR(Inputs!$G$57=0,Inputs!$G$57=""),"N/A",IF(AA$2&gt;Inputs!$G$58,"N/A",(AA49+SUM(AA57:AA58))/-AA95))</f>
        <v>N/A</v>
      </c>
      <c r="AB51" s="48" t="str">
        <f>IF(OR(Inputs!$G$57=0,Inputs!$G$57=""),"N/A",IF(AB$2&gt;Inputs!$G$58,"N/A",(AB49+SUM(AB57:AB58))/-AB95))</f>
        <v>N/A</v>
      </c>
      <c r="AC51" s="48" t="str">
        <f>IF(OR(Inputs!$G$57=0,Inputs!$G$57=""),"N/A",IF(AC$2&gt;Inputs!$G$58,"N/A",(AC49+SUM(AC57:AC58))/-AC95))</f>
        <v>N/A</v>
      </c>
      <c r="AD51" s="48" t="str">
        <f>IF(OR(Inputs!$G$57=0,Inputs!$G$57=""),"N/A",IF(AD$2&gt;Inputs!$G$58,"N/A",(AD49+SUM(AD57:AD58))/-AD95))</f>
        <v>N/A</v>
      </c>
      <c r="AE51" s="48" t="str">
        <f>IF(OR(Inputs!$G$57=0,Inputs!$G$57=""),"N/A",IF(AE$2&gt;Inputs!$G$58,"N/A",(AE49+SUM(AE57:AE58))/-AE95))</f>
        <v>N/A</v>
      </c>
      <c r="AF51" s="48" t="str">
        <f>IF(OR(Inputs!$G$57=0,Inputs!$G$57=""),"N/A",IF(AF$2&gt;Inputs!$G$58,"N/A",(AF49+SUM(AF57:AF58))/-AF95))</f>
        <v>N/A</v>
      </c>
      <c r="AG51" s="48" t="str">
        <f>IF(OR(Inputs!$G$57=0,Inputs!$G$57=""),"N/A",IF(AG$2&gt;Inputs!$G$58,"N/A",(AG49+SUM(AG57:AG58))/-AG95))</f>
        <v>N/A</v>
      </c>
      <c r="AH51" s="48" t="str">
        <f>IF(OR(Inputs!$G$57=0,Inputs!$G$57=""),"N/A",IF(AH$2&gt;Inputs!$G$58,"N/A",(AH49+SUM(AH57:AH58))/-AH95))</f>
        <v>N/A</v>
      </c>
      <c r="AI51" s="48" t="str">
        <f>IF(OR(Inputs!$G$57=0,Inputs!$G$57=""),"N/A",IF(AI$2&gt;Inputs!$G$58,"N/A",(AI49+SUM(AI57:AI58))/-AI95))</f>
        <v>N/A</v>
      </c>
      <c r="AJ51" s="48" t="str">
        <f>IF(OR(Inputs!$G$57=0,Inputs!$G$57=""),"N/A",IF(AJ$2&gt;Inputs!$G$58,"N/A",(AJ49+SUM(AJ57:AJ58))/-AJ95))</f>
        <v>N/A</v>
      </c>
    </row>
    <row r="52" spans="1:36" s="31" customFormat="1" ht="16">
      <c r="B52" s="47" t="s">
        <v>282</v>
      </c>
      <c r="C52" s="47"/>
      <c r="D52" s="47"/>
      <c r="E52" s="82"/>
      <c r="F52" s="48"/>
      <c r="G52" s="424" t="str">
        <f t="shared" ref="G52:AJ52" si="10">IF(G51=$F$51,G2,"")</f>
        <v/>
      </c>
      <c r="H52" s="424" t="str">
        <f t="shared" si="10"/>
        <v/>
      </c>
      <c r="I52" s="424" t="str">
        <f t="shared" si="10"/>
        <v/>
      </c>
      <c r="J52" s="424" t="str">
        <f t="shared" si="10"/>
        <v/>
      </c>
      <c r="K52" s="424" t="str">
        <f t="shared" si="10"/>
        <v/>
      </c>
      <c r="L52" s="424" t="str">
        <f t="shared" si="10"/>
        <v/>
      </c>
      <c r="M52" s="424" t="str">
        <f t="shared" si="10"/>
        <v/>
      </c>
      <c r="N52" s="424" t="str">
        <f t="shared" si="10"/>
        <v/>
      </c>
      <c r="O52" s="424" t="str">
        <f t="shared" si="10"/>
        <v/>
      </c>
      <c r="P52" s="424" t="str">
        <f t="shared" si="10"/>
        <v/>
      </c>
      <c r="Q52" s="424" t="str">
        <f t="shared" si="10"/>
        <v/>
      </c>
      <c r="R52" s="424" t="str">
        <f t="shared" si="10"/>
        <v/>
      </c>
      <c r="S52" s="424">
        <f t="shared" si="10"/>
        <v>13</v>
      </c>
      <c r="T52" s="424" t="str">
        <f t="shared" si="10"/>
        <v/>
      </c>
      <c r="U52" s="424" t="str">
        <f t="shared" si="10"/>
        <v/>
      </c>
      <c r="V52" s="424" t="str">
        <f t="shared" si="10"/>
        <v/>
      </c>
      <c r="W52" s="424" t="str">
        <f t="shared" si="10"/>
        <v/>
      </c>
      <c r="X52" s="424" t="str">
        <f t="shared" si="10"/>
        <v/>
      </c>
      <c r="Y52" s="424" t="str">
        <f t="shared" si="10"/>
        <v/>
      </c>
      <c r="Z52" s="424" t="str">
        <f t="shared" si="10"/>
        <v/>
      </c>
      <c r="AA52" s="424" t="str">
        <f t="shared" si="10"/>
        <v/>
      </c>
      <c r="AB52" s="424" t="str">
        <f t="shared" si="10"/>
        <v/>
      </c>
      <c r="AC52" s="424" t="str">
        <f t="shared" si="10"/>
        <v/>
      </c>
      <c r="AD52" s="424" t="str">
        <f t="shared" si="10"/>
        <v/>
      </c>
      <c r="AE52" s="424" t="str">
        <f t="shared" si="10"/>
        <v/>
      </c>
      <c r="AF52" s="424" t="str">
        <f t="shared" si="10"/>
        <v/>
      </c>
      <c r="AG52" s="424" t="str">
        <f t="shared" si="10"/>
        <v/>
      </c>
      <c r="AH52" s="424" t="str">
        <f t="shared" si="10"/>
        <v/>
      </c>
      <c r="AI52" s="424" t="str">
        <f t="shared" si="10"/>
        <v/>
      </c>
      <c r="AJ52" s="424" t="str">
        <f t="shared" si="10"/>
        <v/>
      </c>
    </row>
    <row r="53" spans="1:36" s="29" customFormat="1" ht="16">
      <c r="B53" s="39" t="s">
        <v>120</v>
      </c>
      <c r="C53" s="39"/>
      <c r="D53" s="39"/>
      <c r="E53" s="80"/>
      <c r="F53" s="39"/>
      <c r="G53" s="42">
        <f>G96</f>
        <v>-485450.00000000006</v>
      </c>
      <c r="H53" s="42">
        <f t="shared" ref="H53:AJ53" si="11">H96</f>
        <v>-461346.99577225407</v>
      </c>
      <c r="I53" s="42">
        <f t="shared" si="11"/>
        <v>-435556.78124856565</v>
      </c>
      <c r="J53" s="42">
        <f t="shared" si="11"/>
        <v>-407961.25170821918</v>
      </c>
      <c r="K53" s="42">
        <f t="shared" si="11"/>
        <v>-378434.03510004841</v>
      </c>
      <c r="L53" s="42">
        <f t="shared" si="11"/>
        <v>-346839.91332930577</v>
      </c>
      <c r="M53" s="42">
        <f t="shared" si="11"/>
        <v>-313034.20303461101</v>
      </c>
      <c r="N53" s="42">
        <f t="shared" si="11"/>
        <v>-276862.09301928774</v>
      </c>
      <c r="O53" s="42">
        <f t="shared" si="11"/>
        <v>-238157.93530289171</v>
      </c>
      <c r="P53" s="42">
        <f t="shared" si="11"/>
        <v>-196744.48654634805</v>
      </c>
      <c r="Q53" s="42">
        <f t="shared" si="11"/>
        <v>-152432.09637684631</v>
      </c>
      <c r="R53" s="42">
        <f t="shared" si="11"/>
        <v>-105017.83889547945</v>
      </c>
      <c r="S53" s="42">
        <f t="shared" si="11"/>
        <v>-54284.583390416919</v>
      </c>
      <c r="T53" s="42">
        <f t="shared" si="11"/>
        <v>0</v>
      </c>
      <c r="U53" s="42">
        <f t="shared" si="11"/>
        <v>0</v>
      </c>
      <c r="V53" s="42">
        <f t="shared" si="11"/>
        <v>0</v>
      </c>
      <c r="W53" s="42">
        <f t="shared" si="11"/>
        <v>0</v>
      </c>
      <c r="X53" s="42">
        <f t="shared" si="11"/>
        <v>0</v>
      </c>
      <c r="Y53" s="42">
        <f t="shared" si="11"/>
        <v>0</v>
      </c>
      <c r="Z53" s="42">
        <f t="shared" si="11"/>
        <v>0</v>
      </c>
      <c r="AA53" s="42">
        <f t="shared" si="11"/>
        <v>0</v>
      </c>
      <c r="AB53" s="42">
        <f t="shared" si="11"/>
        <v>0</v>
      </c>
      <c r="AC53" s="42">
        <f t="shared" si="11"/>
        <v>0</v>
      </c>
      <c r="AD53" s="42">
        <f t="shared" si="11"/>
        <v>0</v>
      </c>
      <c r="AE53" s="42">
        <f t="shared" si="11"/>
        <v>0</v>
      </c>
      <c r="AF53" s="42">
        <f t="shared" si="11"/>
        <v>0</v>
      </c>
      <c r="AG53" s="42">
        <f t="shared" si="11"/>
        <v>0</v>
      </c>
      <c r="AH53" s="42">
        <f t="shared" si="11"/>
        <v>0</v>
      </c>
      <c r="AI53" s="42">
        <f t="shared" si="11"/>
        <v>0</v>
      </c>
      <c r="AJ53" s="42">
        <f t="shared" si="11"/>
        <v>0</v>
      </c>
    </row>
    <row r="54" spans="1:36" s="29" customFormat="1" ht="16">
      <c r="B54" s="49" t="s">
        <v>68</v>
      </c>
      <c r="C54" s="49"/>
      <c r="D54" s="49"/>
      <c r="E54" s="82"/>
      <c r="F54" s="49"/>
      <c r="G54" s="50">
        <f>G49+G53</f>
        <v>1108842.4202244109</v>
      </c>
      <c r="H54" s="50">
        <f t="shared" ref="H54:AJ54" si="12">H49+H53</f>
        <v>1082498.3093909323</v>
      </c>
      <c r="I54" s="50">
        <f t="shared" si="12"/>
        <v>1056206.7930345712</v>
      </c>
      <c r="J54" s="50">
        <f t="shared" si="12"/>
        <v>1030027.7458650687</v>
      </c>
      <c r="K54" s="50">
        <f t="shared" si="12"/>
        <v>1098301.7057276857</v>
      </c>
      <c r="L54" s="50">
        <f t="shared" si="12"/>
        <v>1076399.8975612666</v>
      </c>
      <c r="M54" s="50">
        <f t="shared" si="12"/>
        <v>1054985.6090151903</v>
      </c>
      <c r="N54" s="50">
        <f t="shared" si="12"/>
        <v>1034152.4698956164</v>
      </c>
      <c r="O54" s="50">
        <f t="shared" si="12"/>
        <v>1014002.6333682369</v>
      </c>
      <c r="P54" s="50">
        <f t="shared" si="12"/>
        <v>1097235.9206770614</v>
      </c>
      <c r="Q54" s="50">
        <f t="shared" si="12"/>
        <v>1082983.9156345816</v>
      </c>
      <c r="R54" s="50">
        <f t="shared" si="12"/>
        <v>1069950.6515886264</v>
      </c>
      <c r="S54" s="50">
        <f t="shared" si="12"/>
        <v>1058286.5420956959</v>
      </c>
      <c r="T54" s="50">
        <f t="shared" si="12"/>
        <v>1045043.0097464412</v>
      </c>
      <c r="U54" s="50">
        <f t="shared" si="12"/>
        <v>1087059.4903552583</v>
      </c>
      <c r="V54" s="50">
        <f t="shared" si="12"/>
        <v>1022943.143947396</v>
      </c>
      <c r="W54" s="50">
        <f t="shared" si="12"/>
        <v>956769.8567042225</v>
      </c>
      <c r="X54" s="50">
        <f t="shared" si="12"/>
        <v>888466.87291486422</v>
      </c>
      <c r="Y54" s="50">
        <f t="shared" si="12"/>
        <v>817958.69126874954</v>
      </c>
      <c r="Z54" s="50">
        <f t="shared" si="12"/>
        <v>858666.89593878109</v>
      </c>
      <c r="AA54" s="50">
        <f t="shared" si="12"/>
        <v>0</v>
      </c>
      <c r="AB54" s="50">
        <f t="shared" si="12"/>
        <v>0</v>
      </c>
      <c r="AC54" s="50">
        <f t="shared" si="12"/>
        <v>0</v>
      </c>
      <c r="AD54" s="50">
        <f t="shared" si="12"/>
        <v>0</v>
      </c>
      <c r="AE54" s="50">
        <f t="shared" si="12"/>
        <v>0</v>
      </c>
      <c r="AF54" s="50">
        <f t="shared" si="12"/>
        <v>0</v>
      </c>
      <c r="AG54" s="50">
        <f t="shared" si="12"/>
        <v>0</v>
      </c>
      <c r="AH54" s="50">
        <f t="shared" si="12"/>
        <v>0</v>
      </c>
      <c r="AI54" s="50">
        <f t="shared" si="12"/>
        <v>0</v>
      </c>
      <c r="AJ54" s="50">
        <f t="shared" si="12"/>
        <v>0</v>
      </c>
    </row>
    <row r="55" spans="1:36" s="29" customFormat="1" ht="16">
      <c r="B55" s="31"/>
      <c r="C55" s="31"/>
      <c r="D55" s="31"/>
      <c r="E55" s="82"/>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row>
    <row r="56" spans="1:36" s="29" customFormat="1" ht="16">
      <c r="B56" s="36" t="s">
        <v>119</v>
      </c>
      <c r="C56" s="36"/>
      <c r="D56" s="36"/>
      <c r="E56" s="76"/>
      <c r="F56" s="36"/>
      <c r="G56" s="41">
        <f>G97</f>
        <v>-344328.63182494411</v>
      </c>
      <c r="H56" s="41">
        <f t="shared" ref="H56:AJ56" si="13">H97</f>
        <v>-368431.63605269021</v>
      </c>
      <c r="I56" s="41">
        <f t="shared" si="13"/>
        <v>-394221.85057637852</v>
      </c>
      <c r="J56" s="41">
        <f t="shared" si="13"/>
        <v>-421817.38011672505</v>
      </c>
      <c r="K56" s="41">
        <f t="shared" si="13"/>
        <v>-451344.59672489582</v>
      </c>
      <c r="L56" s="41">
        <f t="shared" si="13"/>
        <v>-482938.71849563858</v>
      </c>
      <c r="M56" s="41">
        <f t="shared" si="13"/>
        <v>-516744.42879033327</v>
      </c>
      <c r="N56" s="41">
        <f t="shared" si="13"/>
        <v>-552916.5388056566</v>
      </c>
      <c r="O56" s="41">
        <f t="shared" si="13"/>
        <v>-591620.6965220524</v>
      </c>
      <c r="P56" s="41">
        <f t="shared" si="13"/>
        <v>-633034.1452785962</v>
      </c>
      <c r="Q56" s="41">
        <f t="shared" si="13"/>
        <v>-677346.53544809797</v>
      </c>
      <c r="R56" s="41">
        <f t="shared" si="13"/>
        <v>-724760.79292946483</v>
      </c>
      <c r="S56" s="41">
        <f t="shared" si="13"/>
        <v>-775494.04843452724</v>
      </c>
      <c r="T56" s="41">
        <f t="shared" si="13"/>
        <v>0</v>
      </c>
      <c r="U56" s="41">
        <f t="shared" si="13"/>
        <v>0</v>
      </c>
      <c r="V56" s="41">
        <f t="shared" si="13"/>
        <v>0</v>
      </c>
      <c r="W56" s="41">
        <f t="shared" si="13"/>
        <v>0</v>
      </c>
      <c r="X56" s="41">
        <f t="shared" si="13"/>
        <v>0</v>
      </c>
      <c r="Y56" s="41">
        <f t="shared" si="13"/>
        <v>0</v>
      </c>
      <c r="Z56" s="41">
        <f t="shared" si="13"/>
        <v>0</v>
      </c>
      <c r="AA56" s="41">
        <f t="shared" si="13"/>
        <v>0</v>
      </c>
      <c r="AB56" s="41">
        <f t="shared" si="13"/>
        <v>0</v>
      </c>
      <c r="AC56" s="41">
        <f t="shared" si="13"/>
        <v>0</v>
      </c>
      <c r="AD56" s="41">
        <f t="shared" si="13"/>
        <v>0</v>
      </c>
      <c r="AE56" s="41">
        <f t="shared" si="13"/>
        <v>0</v>
      </c>
      <c r="AF56" s="41">
        <f t="shared" si="13"/>
        <v>0</v>
      </c>
      <c r="AG56" s="41">
        <f t="shared" si="13"/>
        <v>0</v>
      </c>
      <c r="AH56" s="41">
        <f t="shared" si="13"/>
        <v>0</v>
      </c>
      <c r="AI56" s="41">
        <f t="shared" si="13"/>
        <v>0</v>
      </c>
      <c r="AJ56" s="41">
        <f t="shared" si="13"/>
        <v>0</v>
      </c>
    </row>
    <row r="57" spans="1:36" s="38" customFormat="1" ht="16">
      <c r="B57" s="36" t="s">
        <v>182</v>
      </c>
      <c r="C57" s="36"/>
      <c r="D57" s="36"/>
      <c r="E57" s="76"/>
      <c r="F57" s="36"/>
      <c r="G57" s="41">
        <f>-G219</f>
        <v>0</v>
      </c>
      <c r="H57" s="41">
        <f t="shared" ref="H57:AJ57" si="14">-H219</f>
        <v>0</v>
      </c>
      <c r="I57" s="41">
        <f t="shared" si="14"/>
        <v>0</v>
      </c>
      <c r="J57" s="41">
        <f t="shared" si="14"/>
        <v>0</v>
      </c>
      <c r="K57" s="41">
        <f t="shared" si="14"/>
        <v>0</v>
      </c>
      <c r="L57" s="41">
        <f t="shared" si="14"/>
        <v>0</v>
      </c>
      <c r="M57" s="41">
        <f t="shared" si="14"/>
        <v>0</v>
      </c>
      <c r="N57" s="41">
        <f t="shared" si="14"/>
        <v>0</v>
      </c>
      <c r="O57" s="41">
        <f t="shared" si="14"/>
        <v>0</v>
      </c>
      <c r="P57" s="41">
        <f t="shared" si="14"/>
        <v>0</v>
      </c>
      <c r="Q57" s="41">
        <f t="shared" si="14"/>
        <v>0</v>
      </c>
      <c r="R57" s="41">
        <f t="shared" si="14"/>
        <v>0</v>
      </c>
      <c r="S57" s="41">
        <f t="shared" si="14"/>
        <v>0</v>
      </c>
      <c r="T57" s="41">
        <f t="shared" si="14"/>
        <v>414889.31591247208</v>
      </c>
      <c r="U57" s="41">
        <f t="shared" si="14"/>
        <v>0</v>
      </c>
      <c r="V57" s="41">
        <f t="shared" si="14"/>
        <v>0</v>
      </c>
      <c r="W57" s="41">
        <f t="shared" si="14"/>
        <v>0</v>
      </c>
      <c r="X57" s="41">
        <f t="shared" si="14"/>
        <v>0</v>
      </c>
      <c r="Y57" s="41">
        <f t="shared" si="14"/>
        <v>0</v>
      </c>
      <c r="Z57" s="41">
        <f t="shared" si="14"/>
        <v>1064065.6323816241</v>
      </c>
      <c r="AA57" s="41">
        <f t="shared" si="14"/>
        <v>0</v>
      </c>
      <c r="AB57" s="41">
        <f t="shared" si="14"/>
        <v>0</v>
      </c>
      <c r="AC57" s="41">
        <f t="shared" si="14"/>
        <v>0</v>
      </c>
      <c r="AD57" s="41">
        <f t="shared" si="14"/>
        <v>0</v>
      </c>
      <c r="AE57" s="41">
        <f t="shared" si="14"/>
        <v>0</v>
      </c>
      <c r="AF57" s="41">
        <f t="shared" si="14"/>
        <v>0</v>
      </c>
      <c r="AG57" s="41">
        <f t="shared" si="14"/>
        <v>0</v>
      </c>
      <c r="AH57" s="41">
        <f t="shared" si="14"/>
        <v>0</v>
      </c>
      <c r="AI57" s="41">
        <f t="shared" si="14"/>
        <v>0</v>
      </c>
      <c r="AJ57" s="41">
        <f t="shared" si="14"/>
        <v>0</v>
      </c>
    </row>
    <row r="58" spans="1:36" s="38" customFormat="1" ht="16">
      <c r="B58" s="39" t="s">
        <v>183</v>
      </c>
      <c r="C58" s="39"/>
      <c r="D58" s="39"/>
      <c r="E58" s="80"/>
      <c r="F58" s="39"/>
      <c r="G58" s="42">
        <f>MIN(SUM(G211:G215),0)</f>
        <v>0</v>
      </c>
      <c r="H58" s="42">
        <f t="shared" ref="H58:AJ58" si="15">MIN(SUM(H211:H215),0)</f>
        <v>0</v>
      </c>
      <c r="I58" s="42">
        <f t="shared" si="15"/>
        <v>0</v>
      </c>
      <c r="J58" s="42">
        <f t="shared" si="15"/>
        <v>0</v>
      </c>
      <c r="K58" s="42">
        <f t="shared" si="15"/>
        <v>0</v>
      </c>
      <c r="L58" s="42">
        <f t="shared" si="15"/>
        <v>0</v>
      </c>
      <c r="M58" s="42">
        <f t="shared" si="15"/>
        <v>0</v>
      </c>
      <c r="N58" s="42">
        <f t="shared" si="15"/>
        <v>0</v>
      </c>
      <c r="O58" s="42">
        <f t="shared" si="15"/>
        <v>0</v>
      </c>
      <c r="P58" s="42">
        <f t="shared" si="15"/>
        <v>0</v>
      </c>
      <c r="Q58" s="42">
        <f t="shared" si="15"/>
        <v>0</v>
      </c>
      <c r="R58" s="42">
        <f t="shared" si="15"/>
        <v>0</v>
      </c>
      <c r="S58" s="42">
        <f t="shared" si="15"/>
        <v>0</v>
      </c>
      <c r="T58" s="42">
        <f t="shared" si="15"/>
        <v>0</v>
      </c>
      <c r="U58" s="42">
        <f t="shared" si="15"/>
        <v>0</v>
      </c>
      <c r="V58" s="42">
        <f t="shared" si="15"/>
        <v>0</v>
      </c>
      <c r="W58" s="42">
        <f t="shared" si="15"/>
        <v>0</v>
      </c>
      <c r="X58" s="42">
        <f t="shared" si="15"/>
        <v>0</v>
      </c>
      <c r="Y58" s="42">
        <f t="shared" si="15"/>
        <v>0</v>
      </c>
      <c r="Z58" s="42">
        <f t="shared" si="15"/>
        <v>0</v>
      </c>
      <c r="AA58" s="42">
        <f t="shared" si="15"/>
        <v>0</v>
      </c>
      <c r="AB58" s="42">
        <f t="shared" si="15"/>
        <v>0</v>
      </c>
      <c r="AC58" s="42">
        <f t="shared" si="15"/>
        <v>0</v>
      </c>
      <c r="AD58" s="42">
        <f t="shared" si="15"/>
        <v>0</v>
      </c>
      <c r="AE58" s="42">
        <f t="shared" si="15"/>
        <v>0</v>
      </c>
      <c r="AF58" s="42">
        <f t="shared" si="15"/>
        <v>0</v>
      </c>
      <c r="AG58" s="42">
        <f t="shared" si="15"/>
        <v>0</v>
      </c>
      <c r="AH58" s="42">
        <f t="shared" si="15"/>
        <v>0</v>
      </c>
      <c r="AI58" s="42">
        <f t="shared" si="15"/>
        <v>0</v>
      </c>
      <c r="AJ58" s="42">
        <f t="shared" si="15"/>
        <v>0</v>
      </c>
    </row>
    <row r="59" spans="1:36" s="29" customFormat="1" ht="17">
      <c r="A59" s="31"/>
      <c r="B59" s="51" t="s">
        <v>69</v>
      </c>
      <c r="C59" s="51"/>
      <c r="D59" s="51"/>
      <c r="E59" s="334"/>
      <c r="F59" s="334"/>
      <c r="G59" s="44">
        <f>G54+SUM(G56:G58)</f>
        <v>764513.78839946678</v>
      </c>
      <c r="H59" s="44">
        <f t="shared" ref="H59:AJ59" si="16">H54+SUM(H56:H58)</f>
        <v>714066.67333824211</v>
      </c>
      <c r="I59" s="44">
        <f t="shared" si="16"/>
        <v>661984.9424581927</v>
      </c>
      <c r="J59" s="44">
        <f t="shared" si="16"/>
        <v>608210.36574834376</v>
      </c>
      <c r="K59" s="44">
        <f t="shared" si="16"/>
        <v>646957.10900278995</v>
      </c>
      <c r="L59" s="44">
        <f t="shared" si="16"/>
        <v>593461.17906562798</v>
      </c>
      <c r="M59" s="44">
        <f t="shared" si="16"/>
        <v>538241.18022485706</v>
      </c>
      <c r="N59" s="44">
        <f t="shared" si="16"/>
        <v>481235.93108995981</v>
      </c>
      <c r="O59" s="44">
        <f t="shared" si="16"/>
        <v>422381.93684618454</v>
      </c>
      <c r="P59" s="44">
        <f t="shared" si="16"/>
        <v>464201.77539846522</v>
      </c>
      <c r="Q59" s="44">
        <f t="shared" si="16"/>
        <v>405637.38018648361</v>
      </c>
      <c r="R59" s="44">
        <f t="shared" si="16"/>
        <v>345189.8586591616</v>
      </c>
      <c r="S59" s="44">
        <f t="shared" si="16"/>
        <v>282792.49366116861</v>
      </c>
      <c r="T59" s="44">
        <f t="shared" si="16"/>
        <v>1459932.3256589132</v>
      </c>
      <c r="U59" s="44">
        <f t="shared" si="16"/>
        <v>1087059.4903552583</v>
      </c>
      <c r="V59" s="44">
        <f t="shared" si="16"/>
        <v>1022943.143947396</v>
      </c>
      <c r="W59" s="44">
        <f t="shared" si="16"/>
        <v>956769.8567042225</v>
      </c>
      <c r="X59" s="44">
        <f t="shared" si="16"/>
        <v>888466.87291486422</v>
      </c>
      <c r="Y59" s="44">
        <f t="shared" si="16"/>
        <v>817958.69126874954</v>
      </c>
      <c r="Z59" s="44">
        <f t="shared" si="16"/>
        <v>1922732.5283204052</v>
      </c>
      <c r="AA59" s="44">
        <f t="shared" si="16"/>
        <v>0</v>
      </c>
      <c r="AB59" s="44">
        <f t="shared" si="16"/>
        <v>0</v>
      </c>
      <c r="AC59" s="44">
        <f t="shared" si="16"/>
        <v>0</v>
      </c>
      <c r="AD59" s="44">
        <f t="shared" si="16"/>
        <v>0</v>
      </c>
      <c r="AE59" s="44">
        <f t="shared" si="16"/>
        <v>0</v>
      </c>
      <c r="AF59" s="44">
        <f t="shared" si="16"/>
        <v>0</v>
      </c>
      <c r="AG59" s="44">
        <f t="shared" si="16"/>
        <v>0</v>
      </c>
      <c r="AH59" s="44">
        <f t="shared" si="16"/>
        <v>0</v>
      </c>
      <c r="AI59" s="44">
        <f t="shared" si="16"/>
        <v>0</v>
      </c>
      <c r="AJ59" s="44">
        <f t="shared" si="16"/>
        <v>0</v>
      </c>
    </row>
    <row r="60" spans="1:36" s="29" customFormat="1" ht="16">
      <c r="B60" s="34"/>
      <c r="C60" s="34"/>
      <c r="D60" s="34"/>
      <c r="G60" s="52"/>
    </row>
    <row r="61" spans="1:36" s="29" customFormat="1" ht="16">
      <c r="B61" s="30" t="s">
        <v>70</v>
      </c>
      <c r="C61" s="30"/>
      <c r="D61" s="30"/>
      <c r="F61" s="87"/>
      <c r="G61" s="52"/>
    </row>
    <row r="62" spans="1:36" s="29" customFormat="1" ht="16">
      <c r="B62" s="31" t="s">
        <v>256</v>
      </c>
      <c r="C62" s="31"/>
      <c r="D62" s="31"/>
      <c r="F62" s="52">
        <f>-(Inputs!$G$30-Inputs!$G$75-$F$92)</f>
        <v>-10402500</v>
      </c>
      <c r="G62" s="52">
        <v>0</v>
      </c>
      <c r="H62" s="52">
        <v>0</v>
      </c>
      <c r="I62" s="52">
        <v>0</v>
      </c>
      <c r="J62" s="52">
        <v>0</v>
      </c>
      <c r="K62" s="52">
        <v>0</v>
      </c>
      <c r="L62" s="52">
        <v>0</v>
      </c>
      <c r="M62" s="52">
        <v>0</v>
      </c>
      <c r="N62" s="52">
        <v>0</v>
      </c>
      <c r="O62" s="52">
        <v>0</v>
      </c>
      <c r="P62" s="52">
        <v>0</v>
      </c>
      <c r="Q62" s="52">
        <v>0</v>
      </c>
      <c r="R62" s="52">
        <v>0</v>
      </c>
      <c r="S62" s="52">
        <v>0</v>
      </c>
      <c r="T62" s="52">
        <v>0</v>
      </c>
      <c r="U62" s="52">
        <v>0</v>
      </c>
      <c r="V62" s="52">
        <v>0</v>
      </c>
      <c r="W62" s="52">
        <v>0</v>
      </c>
      <c r="X62" s="52">
        <v>0</v>
      </c>
      <c r="Y62" s="52">
        <v>0</v>
      </c>
      <c r="Z62" s="52">
        <v>0</v>
      </c>
      <c r="AA62" s="52">
        <v>0</v>
      </c>
      <c r="AB62" s="52">
        <v>0</v>
      </c>
      <c r="AC62" s="52">
        <v>0</v>
      </c>
      <c r="AD62" s="52">
        <v>0</v>
      </c>
      <c r="AE62" s="52">
        <v>0</v>
      </c>
      <c r="AF62" s="52">
        <v>0</v>
      </c>
      <c r="AG62" s="52">
        <v>0</v>
      </c>
      <c r="AH62" s="52">
        <v>0</v>
      </c>
      <c r="AI62" s="52">
        <v>0</v>
      </c>
      <c r="AJ62" s="52">
        <v>0</v>
      </c>
    </row>
    <row r="63" spans="1:36" s="29" customFormat="1" ht="16">
      <c r="B63" s="40" t="s">
        <v>69</v>
      </c>
      <c r="C63" s="40"/>
      <c r="D63" s="40"/>
      <c r="E63" s="40"/>
      <c r="F63" s="40"/>
      <c r="G63" s="53">
        <f>G59</f>
        <v>764513.78839946678</v>
      </c>
      <c r="H63" s="53">
        <f t="shared" ref="H63:AJ63" si="17">H59</f>
        <v>714066.67333824211</v>
      </c>
      <c r="I63" s="53">
        <f t="shared" si="17"/>
        <v>661984.9424581927</v>
      </c>
      <c r="J63" s="53">
        <f t="shared" si="17"/>
        <v>608210.36574834376</v>
      </c>
      <c r="K63" s="53">
        <f t="shared" si="17"/>
        <v>646957.10900278995</v>
      </c>
      <c r="L63" s="53">
        <f t="shared" si="17"/>
        <v>593461.17906562798</v>
      </c>
      <c r="M63" s="53">
        <f t="shared" si="17"/>
        <v>538241.18022485706</v>
      </c>
      <c r="N63" s="53">
        <f t="shared" si="17"/>
        <v>481235.93108995981</v>
      </c>
      <c r="O63" s="53">
        <f t="shared" si="17"/>
        <v>422381.93684618454</v>
      </c>
      <c r="P63" s="53">
        <f t="shared" si="17"/>
        <v>464201.77539846522</v>
      </c>
      <c r="Q63" s="53">
        <f t="shared" si="17"/>
        <v>405637.38018648361</v>
      </c>
      <c r="R63" s="53">
        <f t="shared" si="17"/>
        <v>345189.8586591616</v>
      </c>
      <c r="S63" s="53">
        <f t="shared" si="17"/>
        <v>282792.49366116861</v>
      </c>
      <c r="T63" s="53">
        <f t="shared" si="17"/>
        <v>1459932.3256589132</v>
      </c>
      <c r="U63" s="53">
        <f t="shared" si="17"/>
        <v>1087059.4903552583</v>
      </c>
      <c r="V63" s="53">
        <f t="shared" si="17"/>
        <v>1022943.143947396</v>
      </c>
      <c r="W63" s="53">
        <f t="shared" si="17"/>
        <v>956769.8567042225</v>
      </c>
      <c r="X63" s="53">
        <f t="shared" si="17"/>
        <v>888466.87291486422</v>
      </c>
      <c r="Y63" s="53">
        <f t="shared" si="17"/>
        <v>817958.69126874954</v>
      </c>
      <c r="Z63" s="53">
        <f t="shared" si="17"/>
        <v>1922732.5283204052</v>
      </c>
      <c r="AA63" s="53">
        <f t="shared" si="17"/>
        <v>0</v>
      </c>
      <c r="AB63" s="53">
        <f t="shared" si="17"/>
        <v>0</v>
      </c>
      <c r="AC63" s="53">
        <f t="shared" si="17"/>
        <v>0</v>
      </c>
      <c r="AD63" s="53">
        <f t="shared" si="17"/>
        <v>0</v>
      </c>
      <c r="AE63" s="53">
        <f t="shared" si="17"/>
        <v>0</v>
      </c>
      <c r="AF63" s="53">
        <f t="shared" si="17"/>
        <v>0</v>
      </c>
      <c r="AG63" s="53">
        <f t="shared" si="17"/>
        <v>0</v>
      </c>
      <c r="AH63" s="53">
        <f t="shared" si="17"/>
        <v>0</v>
      </c>
      <c r="AI63" s="53">
        <f t="shared" si="17"/>
        <v>0</v>
      </c>
      <c r="AJ63" s="53">
        <f t="shared" si="17"/>
        <v>0</v>
      </c>
    </row>
    <row r="64" spans="1:36" s="29" customFormat="1" ht="17">
      <c r="B64" s="51" t="s">
        <v>121</v>
      </c>
      <c r="C64" s="51"/>
      <c r="D64" s="51"/>
      <c r="E64" s="397"/>
      <c r="F64" s="52">
        <f t="shared" ref="F64:AJ64" si="18">SUM(F62:F63)</f>
        <v>-10402500</v>
      </c>
      <c r="G64" s="52">
        <f t="shared" si="18"/>
        <v>764513.78839946678</v>
      </c>
      <c r="H64" s="52">
        <f t="shared" si="18"/>
        <v>714066.67333824211</v>
      </c>
      <c r="I64" s="52">
        <f t="shared" si="18"/>
        <v>661984.9424581927</v>
      </c>
      <c r="J64" s="52">
        <f t="shared" si="18"/>
        <v>608210.36574834376</v>
      </c>
      <c r="K64" s="52">
        <f t="shared" si="18"/>
        <v>646957.10900278995</v>
      </c>
      <c r="L64" s="52">
        <f t="shared" si="18"/>
        <v>593461.17906562798</v>
      </c>
      <c r="M64" s="52">
        <f t="shared" si="18"/>
        <v>538241.18022485706</v>
      </c>
      <c r="N64" s="52">
        <f t="shared" si="18"/>
        <v>481235.93108995981</v>
      </c>
      <c r="O64" s="52">
        <f t="shared" si="18"/>
        <v>422381.93684618454</v>
      </c>
      <c r="P64" s="52">
        <f t="shared" si="18"/>
        <v>464201.77539846522</v>
      </c>
      <c r="Q64" s="52">
        <f t="shared" si="18"/>
        <v>405637.38018648361</v>
      </c>
      <c r="R64" s="52">
        <f t="shared" si="18"/>
        <v>345189.8586591616</v>
      </c>
      <c r="S64" s="52">
        <f t="shared" si="18"/>
        <v>282792.49366116861</v>
      </c>
      <c r="T64" s="52">
        <f t="shared" si="18"/>
        <v>1459932.3256589132</v>
      </c>
      <c r="U64" s="52">
        <f t="shared" si="18"/>
        <v>1087059.4903552583</v>
      </c>
      <c r="V64" s="52">
        <f t="shared" si="18"/>
        <v>1022943.143947396</v>
      </c>
      <c r="W64" s="52">
        <f t="shared" si="18"/>
        <v>956769.8567042225</v>
      </c>
      <c r="X64" s="52">
        <f t="shared" si="18"/>
        <v>888466.87291486422</v>
      </c>
      <c r="Y64" s="52">
        <f t="shared" si="18"/>
        <v>817958.69126874954</v>
      </c>
      <c r="Z64" s="52">
        <f t="shared" si="18"/>
        <v>1922732.5283204052</v>
      </c>
      <c r="AA64" s="52">
        <f t="shared" si="18"/>
        <v>0</v>
      </c>
      <c r="AB64" s="52">
        <f t="shared" si="18"/>
        <v>0</v>
      </c>
      <c r="AC64" s="52">
        <f t="shared" si="18"/>
        <v>0</v>
      </c>
      <c r="AD64" s="52">
        <f t="shared" si="18"/>
        <v>0</v>
      </c>
      <c r="AE64" s="52">
        <f t="shared" si="18"/>
        <v>0</v>
      </c>
      <c r="AF64" s="52">
        <f t="shared" si="18"/>
        <v>0</v>
      </c>
      <c r="AG64" s="52">
        <f t="shared" si="18"/>
        <v>0</v>
      </c>
      <c r="AH64" s="52">
        <f t="shared" si="18"/>
        <v>0</v>
      </c>
      <c r="AI64" s="52">
        <f t="shared" si="18"/>
        <v>0</v>
      </c>
      <c r="AJ64" s="52">
        <f t="shared" si="18"/>
        <v>0</v>
      </c>
    </row>
    <row r="65" spans="2:36" s="29" customFormat="1" ht="17">
      <c r="B65" s="54" t="s">
        <v>71</v>
      </c>
      <c r="C65" s="54"/>
      <c r="D65" s="54"/>
      <c r="E65" s="52"/>
      <c r="F65" s="85"/>
      <c r="G65" s="380">
        <f>IF(ISERROR(IRR($F64:G64)),"NA",IRR($F64:G64))</f>
        <v>-0.92650672546027713</v>
      </c>
      <c r="H65" s="380">
        <f>IF(ISERROR(IRR($F64:H64)),"NA",IRR($F64:H64))</f>
        <v>-0.69868943567379094</v>
      </c>
      <c r="I65" s="380">
        <f>IF(ISERROR(IRR($F64:I64)),"NA",IRR($F64:I64))</f>
        <v>-0.51476565800444529</v>
      </c>
      <c r="J65" s="380">
        <f>IF(ISERROR(IRR($F64:J64)),"NA",IRR($F64:J64))</f>
        <v>-0.38845687758014091</v>
      </c>
      <c r="K65" s="380">
        <f>IF(ISERROR(IRR($F64:K64)),"NA",IRR($F64:K64))</f>
        <v>-0.29153617993586733</v>
      </c>
      <c r="L65" s="380">
        <f>IF(ISERROR(IRR($F64:L64)),"NA",IRR($F64:L64))</f>
        <v>-0.22620341207155681</v>
      </c>
      <c r="M65" s="380">
        <f>IF(ISERROR(IRR($F64:M64)),"NA",IRR($F64:M64))</f>
        <v>-0.18010384316014805</v>
      </c>
      <c r="N65" s="380">
        <f>IF(ISERROR(IRR($F64:N64)),"NA",IRR($F64:N64))</f>
        <v>-0.14669129828333916</v>
      </c>
      <c r="O65" s="380">
        <f>IF(ISERROR(IRR($F64:O64)),"NA",IRR($F64:O64))</f>
        <v>-0.12208408325514308</v>
      </c>
      <c r="P65" s="380">
        <f>IF(ISERROR(IRR($F64:P64)),"NA",IRR($F64:P64))</f>
        <v>-9.9398623172519907E-2</v>
      </c>
      <c r="Q65" s="380">
        <f>IF(ISERROR(IRR($F64:Q64)),"NA",IRR($F64:Q64))</f>
        <v>-8.2687837836592726E-2</v>
      </c>
      <c r="R65" s="380">
        <f>IF(ISERROR(IRR($F64:R64)),"NA",IRR($F64:R64))</f>
        <v>-7.0278219336586734E-2</v>
      </c>
      <c r="S65" s="380">
        <f>IF(ISERROR(IRR($F64:S64)),"NA",IRR($F64:S64))</f>
        <v>-6.1140117025159868E-2</v>
      </c>
      <c r="T65" s="380">
        <f>IF(ISERROR(IRR($F64:T64)),"NA",IRR($F64:T64))</f>
        <v>-2.7582975893623352E-2</v>
      </c>
      <c r="U65" s="380">
        <f>IF(ISERROR(IRR($F64:U64)),"NA",IRR($F64:U64))</f>
        <v>-1.1028125657321586E-2</v>
      </c>
      <c r="V65" s="380">
        <f>IF(ISERROR(IRR($F64:V64)),"NA",IRR($F64:V64))</f>
        <v>1.022003805990046E-3</v>
      </c>
      <c r="W65" s="380">
        <f>IF(ISERROR(IRR($F64:W64)),"NA",IRR($F64:W64))</f>
        <v>1.0144644168682104E-2</v>
      </c>
      <c r="X65" s="380">
        <f>IF(ISERROR(IRR($F64:X64)),"NA",IRR($F64:X64))</f>
        <v>1.7212902108118877E-2</v>
      </c>
      <c r="Y65" s="380">
        <f>IF(ISERROR(IRR($F64:Y64)),"NA",IRR($F64:Y64))</f>
        <v>2.2765566702265261E-2</v>
      </c>
      <c r="Z65" s="380">
        <f>IF(ISERROR(IRR($F64:Z64)),"NA",IRR($F64:Z64))</f>
        <v>3.3267662564944622E-2</v>
      </c>
      <c r="AA65" s="380">
        <f>IF(ISERROR(IRR($F64:AA64)),"NA",IRR($F64:AA64))</f>
        <v>3.3267662564944622E-2</v>
      </c>
      <c r="AB65" s="380">
        <f>IF(ISERROR(IRR($F64:AB64)),"NA",IRR($F64:AB64))</f>
        <v>3.3267662564944622E-2</v>
      </c>
      <c r="AC65" s="380">
        <f>IF(ISERROR(IRR($F64:AC64)),"NA",IRR($F64:AC64))</f>
        <v>3.3267662564944622E-2</v>
      </c>
      <c r="AD65" s="380">
        <f>IF(ISERROR(IRR($F64:AD64)),"NA",IRR($F64:AD64))</f>
        <v>3.3267662564944622E-2</v>
      </c>
      <c r="AE65" s="380">
        <f>IF(ISERROR(IRR($F64:AE64)),"NA",IRR($F64:AE64))</f>
        <v>3.3267662564944622E-2</v>
      </c>
      <c r="AF65" s="380">
        <f>IF(ISERROR(IRR($F64:AF64)),"NA",IRR($F64:AF64))</f>
        <v>3.3267662564944622E-2</v>
      </c>
      <c r="AG65" s="380">
        <f>IF(ISERROR(IRR($F64:AG64)),"NA",IRR($F64:AG64))</f>
        <v>3.3267662564944622E-2</v>
      </c>
      <c r="AH65" s="380">
        <f>IF(ISERROR(IRR($F64:AH64)),"NA",IRR($F64:AH64))</f>
        <v>3.3267662564944622E-2</v>
      </c>
      <c r="AI65" s="380">
        <f>IF(ISERROR(IRR($F64:AI64)),"NA",IRR($F64:AI64))</f>
        <v>3.3267662564944622E-2</v>
      </c>
      <c r="AJ65" s="380">
        <f>IF(ISERROR(IRR($F64:AJ64)),"NA",IRR($F64:AJ64))</f>
        <v>3.3267662564944622E-2</v>
      </c>
    </row>
    <row r="66" spans="2:36" s="29" customFormat="1" ht="16">
      <c r="B66" s="54"/>
      <c r="C66" s="54"/>
      <c r="D66" s="54"/>
      <c r="E66" s="52"/>
      <c r="F66" s="8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row>
    <row r="67" spans="2:36" s="29" customFormat="1" ht="17">
      <c r="B67" s="389" t="s">
        <v>153</v>
      </c>
      <c r="C67" s="389"/>
      <c r="D67" s="389"/>
      <c r="E67" s="40"/>
      <c r="F67" s="343"/>
      <c r="G67" s="53">
        <f t="shared" ref="G67:AJ67" si="19">-G152</f>
        <v>-2820345.3046875005</v>
      </c>
      <c r="H67" s="53">
        <f t="shared" si="19"/>
        <v>-4519208.1300962502</v>
      </c>
      <c r="I67" s="53">
        <f t="shared" si="19"/>
        <v>-2724363.4622074999</v>
      </c>
      <c r="J67" s="53">
        <f t="shared" si="19"/>
        <v>-1646570.8310387498</v>
      </c>
      <c r="K67" s="53">
        <f t="shared" si="19"/>
        <v>-1644159.668505</v>
      </c>
      <c r="L67" s="53">
        <f t="shared" si="19"/>
        <v>-835596.64163750003</v>
      </c>
      <c r="M67" s="53">
        <f t="shared" si="19"/>
        <v>-27906.339442500001</v>
      </c>
      <c r="N67" s="53">
        <f t="shared" si="19"/>
        <v>-27361.258845</v>
      </c>
      <c r="O67" s="53">
        <f t="shared" si="19"/>
        <v>-27294.240738749999</v>
      </c>
      <c r="P67" s="53">
        <f t="shared" si="19"/>
        <v>-27270.41207875</v>
      </c>
      <c r="Q67" s="53">
        <f t="shared" si="19"/>
        <v>-27294.240738749999</v>
      </c>
      <c r="R67" s="53">
        <f t="shared" si="19"/>
        <v>-27270.41207875</v>
      </c>
      <c r="S67" s="53">
        <f t="shared" si="19"/>
        <v>-27294.240738749999</v>
      </c>
      <c r="T67" s="53">
        <f t="shared" si="19"/>
        <v>-27270.41207875</v>
      </c>
      <c r="U67" s="53">
        <f t="shared" si="19"/>
        <v>-27294.240738749999</v>
      </c>
      <c r="V67" s="53">
        <f t="shared" si="19"/>
        <v>-20680.298297499998</v>
      </c>
      <c r="W67" s="53">
        <f t="shared" si="19"/>
        <v>-14091.673807499999</v>
      </c>
      <c r="X67" s="53">
        <f t="shared" si="19"/>
        <v>-14090.184516249999</v>
      </c>
      <c r="Y67" s="53">
        <f t="shared" si="19"/>
        <v>-14091.673807499999</v>
      </c>
      <c r="Z67" s="53">
        <f t="shared" si="19"/>
        <v>-14090.184516249999</v>
      </c>
      <c r="AA67" s="53">
        <f t="shared" si="19"/>
        <v>0</v>
      </c>
      <c r="AB67" s="53">
        <f t="shared" si="19"/>
        <v>0</v>
      </c>
      <c r="AC67" s="53">
        <f t="shared" si="19"/>
        <v>0</v>
      </c>
      <c r="AD67" s="53">
        <f t="shared" si="19"/>
        <v>0</v>
      </c>
      <c r="AE67" s="53">
        <f t="shared" si="19"/>
        <v>0</v>
      </c>
      <c r="AF67" s="53">
        <f t="shared" si="19"/>
        <v>0</v>
      </c>
      <c r="AG67" s="53">
        <f t="shared" si="19"/>
        <v>0</v>
      </c>
      <c r="AH67" s="53">
        <f t="shared" si="19"/>
        <v>0</v>
      </c>
      <c r="AI67" s="53">
        <f t="shared" si="19"/>
        <v>0</v>
      </c>
      <c r="AJ67" s="53">
        <f t="shared" si="19"/>
        <v>0</v>
      </c>
    </row>
    <row r="68" spans="2:36" s="29" customFormat="1" ht="16">
      <c r="B68" s="34" t="s">
        <v>275</v>
      </c>
      <c r="C68" s="34"/>
      <c r="D68" s="34"/>
      <c r="F68" s="86"/>
      <c r="G68" s="84">
        <f>IF(Inputs!$G$79="No",0,(G$54+G$67))</f>
        <v>-1711502.8844630895</v>
      </c>
      <c r="H68" s="84">
        <f>IF(Inputs!$G$79="No",0,(H$54+H$67))</f>
        <v>-3436709.8207053179</v>
      </c>
      <c r="I68" s="84">
        <f>IF(Inputs!$G$79="No",0,(I$54+I$67))</f>
        <v>-1668156.6691729287</v>
      </c>
      <c r="J68" s="84">
        <f>IF(Inputs!$G$79="No",0,(J$54+J$67))</f>
        <v>-616543.08517368103</v>
      </c>
      <c r="K68" s="84">
        <f>IF(Inputs!$G$79="No",0,(K$54+K$67))</f>
        <v>-545857.96277731424</v>
      </c>
      <c r="L68" s="84">
        <f>IF(Inputs!$G$79="No",0,(L$54+L$67))</f>
        <v>240803.25592376653</v>
      </c>
      <c r="M68" s="84">
        <f>IF(Inputs!$G$79="No",0,(M$54+M$67))</f>
        <v>1027079.2695726902</v>
      </c>
      <c r="N68" s="84">
        <f>IF(Inputs!$G$79="No",0,(N$54+N$67))</f>
        <v>1006791.2110506165</v>
      </c>
      <c r="O68" s="84">
        <f>IF(Inputs!$G$79="No",0,(O$54+O$67))</f>
        <v>986708.39262948697</v>
      </c>
      <c r="P68" s="84">
        <f>IF(Inputs!$G$79="No",0,(P$54+P$67))</f>
        <v>1069965.5085983113</v>
      </c>
      <c r="Q68" s="84">
        <f>IF(Inputs!$G$79="No",0,(Q$54+Q$67))</f>
        <v>1055689.6748958316</v>
      </c>
      <c r="R68" s="84">
        <f>IF(Inputs!$G$79="No",0,(R$54+R$67))</f>
        <v>1042680.2395098765</v>
      </c>
      <c r="S68" s="84">
        <f>IF(Inputs!$G$79="No",0,(S$54+S$67))</f>
        <v>1030992.3013569459</v>
      </c>
      <c r="T68" s="84">
        <f>IF(Inputs!$G$79="No",0,(T$54+T$67))</f>
        <v>1017772.5976676912</v>
      </c>
      <c r="U68" s="84">
        <f>IF(Inputs!$G$79="No",0,(U$54+U$67))</f>
        <v>1059765.2496165084</v>
      </c>
      <c r="V68" s="84">
        <f>IF(Inputs!$G$79="No",0,(V$54+V$67))</f>
        <v>1002262.845649896</v>
      </c>
      <c r="W68" s="84">
        <f>IF(Inputs!$G$79="No",0,(W$54+W$67))</f>
        <v>942678.18289672246</v>
      </c>
      <c r="X68" s="84">
        <f>IF(Inputs!$G$79="No",0,(X$54+X$67))</f>
        <v>874376.68839861418</v>
      </c>
      <c r="Y68" s="84">
        <f>IF(Inputs!$G$79="No",0,(Y$54+Y$67))</f>
        <v>803867.01746124949</v>
      </c>
      <c r="Z68" s="84">
        <f>IF(Inputs!$G$79="No",0,(Z$54+Z$67))</f>
        <v>844576.71142253105</v>
      </c>
      <c r="AA68" s="84">
        <f>IF(Inputs!$G$79="No",0,(AA$54+AA$67))</f>
        <v>0</v>
      </c>
      <c r="AB68" s="84">
        <f>IF(Inputs!$G$79="No",0,(AB$54+AB$67))</f>
        <v>0</v>
      </c>
      <c r="AC68" s="84">
        <f>IF(Inputs!$G$79="No",0,(AC$54+AC$67))</f>
        <v>0</v>
      </c>
      <c r="AD68" s="84">
        <f>IF(Inputs!$G$79="No",0,(AD$54+AD$67))</f>
        <v>0</v>
      </c>
      <c r="AE68" s="84">
        <f>IF(Inputs!$G$79="No",0,(AE$54+AE$67))</f>
        <v>0</v>
      </c>
      <c r="AF68" s="84">
        <f>IF(Inputs!$G$79="No",0,(AF$54+AF$67))</f>
        <v>0</v>
      </c>
      <c r="AG68" s="84">
        <f>IF(Inputs!$G$79="No",0,(AG$54+AG$67))</f>
        <v>0</v>
      </c>
      <c r="AH68" s="84">
        <f>IF(Inputs!$G$79="No",0,(AH$54+AH$67))</f>
        <v>0</v>
      </c>
      <c r="AI68" s="84">
        <f>IF(Inputs!$G$79="No",0,(AI$54+AI$67))</f>
        <v>0</v>
      </c>
      <c r="AJ68" s="84">
        <f>IF(Inputs!$G$79="No",0,(AJ$54+AJ$67))</f>
        <v>0</v>
      </c>
    </row>
    <row r="69" spans="2:36" s="29" customFormat="1" ht="16">
      <c r="B69" s="51"/>
      <c r="C69" s="51"/>
      <c r="D69" s="51"/>
      <c r="F69" s="86"/>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row>
    <row r="70" spans="2:36" s="29" customFormat="1" ht="16">
      <c r="B70" s="34" t="s">
        <v>276</v>
      </c>
      <c r="C70" s="34"/>
      <c r="D70" s="34"/>
      <c r="F70" s="344" t="str">
        <f>Inputs!G81</f>
        <v>As Generated</v>
      </c>
      <c r="G70" s="84">
        <f t="shared" ref="G70:AJ70" si="20">IF($F$70="as generated",G$68,G$167)</f>
        <v>-1711502.8844630895</v>
      </c>
      <c r="H70" s="84">
        <f t="shared" si="20"/>
        <v>-3436709.8207053179</v>
      </c>
      <c r="I70" s="84">
        <f t="shared" si="20"/>
        <v>-1668156.6691729287</v>
      </c>
      <c r="J70" s="84">
        <f t="shared" si="20"/>
        <v>-616543.08517368103</v>
      </c>
      <c r="K70" s="84">
        <f t="shared" si="20"/>
        <v>-545857.96277731424</v>
      </c>
      <c r="L70" s="84">
        <f t="shared" si="20"/>
        <v>240803.25592376653</v>
      </c>
      <c r="M70" s="84">
        <f t="shared" si="20"/>
        <v>1027079.2695726902</v>
      </c>
      <c r="N70" s="84">
        <f t="shared" si="20"/>
        <v>1006791.2110506165</v>
      </c>
      <c r="O70" s="84">
        <f t="shared" si="20"/>
        <v>986708.39262948697</v>
      </c>
      <c r="P70" s="84">
        <f t="shared" si="20"/>
        <v>1069965.5085983113</v>
      </c>
      <c r="Q70" s="84">
        <f t="shared" si="20"/>
        <v>1055689.6748958316</v>
      </c>
      <c r="R70" s="84">
        <f t="shared" si="20"/>
        <v>1042680.2395098765</v>
      </c>
      <c r="S70" s="84">
        <f t="shared" si="20"/>
        <v>1030992.3013569459</v>
      </c>
      <c r="T70" s="84">
        <f t="shared" si="20"/>
        <v>1017772.5976676912</v>
      </c>
      <c r="U70" s="84">
        <f t="shared" si="20"/>
        <v>1059765.2496165084</v>
      </c>
      <c r="V70" s="84">
        <f t="shared" si="20"/>
        <v>1002262.845649896</v>
      </c>
      <c r="W70" s="84">
        <f t="shared" si="20"/>
        <v>942678.18289672246</v>
      </c>
      <c r="X70" s="84">
        <f t="shared" si="20"/>
        <v>874376.68839861418</v>
      </c>
      <c r="Y70" s="84">
        <f t="shared" si="20"/>
        <v>803867.01746124949</v>
      </c>
      <c r="Z70" s="84">
        <f t="shared" si="20"/>
        <v>844576.71142253105</v>
      </c>
      <c r="AA70" s="84">
        <f t="shared" si="20"/>
        <v>0</v>
      </c>
      <c r="AB70" s="84">
        <f t="shared" si="20"/>
        <v>0</v>
      </c>
      <c r="AC70" s="84">
        <f t="shared" si="20"/>
        <v>0</v>
      </c>
      <c r="AD70" s="84">
        <f t="shared" si="20"/>
        <v>0</v>
      </c>
      <c r="AE70" s="84">
        <f t="shared" si="20"/>
        <v>0</v>
      </c>
      <c r="AF70" s="84">
        <f t="shared" si="20"/>
        <v>0</v>
      </c>
      <c r="AG70" s="84">
        <f t="shared" si="20"/>
        <v>0</v>
      </c>
      <c r="AH70" s="84">
        <f t="shared" si="20"/>
        <v>0</v>
      </c>
      <c r="AI70" s="84">
        <f t="shared" si="20"/>
        <v>0</v>
      </c>
      <c r="AJ70" s="84">
        <f t="shared" si="20"/>
        <v>0</v>
      </c>
    </row>
    <row r="71" spans="2:36" s="29" customFormat="1" ht="16">
      <c r="B71" s="34" t="s">
        <v>277</v>
      </c>
      <c r="C71" s="34"/>
      <c r="D71" s="34"/>
      <c r="F71" s="344" t="str">
        <f>Inputs!G83</f>
        <v>As Generated</v>
      </c>
      <c r="G71" s="84">
        <f t="shared" ref="G71:AJ71" si="21">IF($F$71="as generated",G$68,G$175)</f>
        <v>-1711502.8844630895</v>
      </c>
      <c r="H71" s="84">
        <f t="shared" si="21"/>
        <v>-3436709.8207053179</v>
      </c>
      <c r="I71" s="84">
        <f t="shared" si="21"/>
        <v>-1668156.6691729287</v>
      </c>
      <c r="J71" s="84">
        <f t="shared" si="21"/>
        <v>-616543.08517368103</v>
      </c>
      <c r="K71" s="84">
        <f t="shared" si="21"/>
        <v>-545857.96277731424</v>
      </c>
      <c r="L71" s="84">
        <f t="shared" si="21"/>
        <v>240803.25592376653</v>
      </c>
      <c r="M71" s="84">
        <f t="shared" si="21"/>
        <v>1027079.2695726902</v>
      </c>
      <c r="N71" s="84">
        <f t="shared" si="21"/>
        <v>1006791.2110506165</v>
      </c>
      <c r="O71" s="84">
        <f t="shared" si="21"/>
        <v>986708.39262948697</v>
      </c>
      <c r="P71" s="84">
        <f t="shared" si="21"/>
        <v>1069965.5085983113</v>
      </c>
      <c r="Q71" s="84">
        <f t="shared" si="21"/>
        <v>1055689.6748958316</v>
      </c>
      <c r="R71" s="84">
        <f t="shared" si="21"/>
        <v>1042680.2395098765</v>
      </c>
      <c r="S71" s="84">
        <f t="shared" si="21"/>
        <v>1030992.3013569459</v>
      </c>
      <c r="T71" s="84">
        <f t="shared" si="21"/>
        <v>1017772.5976676912</v>
      </c>
      <c r="U71" s="84">
        <f t="shared" si="21"/>
        <v>1059765.2496165084</v>
      </c>
      <c r="V71" s="84">
        <f t="shared" si="21"/>
        <v>1002262.845649896</v>
      </c>
      <c r="W71" s="84">
        <f t="shared" si="21"/>
        <v>942678.18289672246</v>
      </c>
      <c r="X71" s="84">
        <f t="shared" si="21"/>
        <v>874376.68839861418</v>
      </c>
      <c r="Y71" s="84">
        <f t="shared" si="21"/>
        <v>803867.01746124949</v>
      </c>
      <c r="Z71" s="84">
        <f t="shared" si="21"/>
        <v>844576.71142253105</v>
      </c>
      <c r="AA71" s="84">
        <f t="shared" si="21"/>
        <v>0</v>
      </c>
      <c r="AB71" s="84">
        <f t="shared" si="21"/>
        <v>0</v>
      </c>
      <c r="AC71" s="84">
        <f t="shared" si="21"/>
        <v>0</v>
      </c>
      <c r="AD71" s="84">
        <f t="shared" si="21"/>
        <v>0</v>
      </c>
      <c r="AE71" s="84">
        <f t="shared" si="21"/>
        <v>0</v>
      </c>
      <c r="AF71" s="84">
        <f t="shared" si="21"/>
        <v>0</v>
      </c>
      <c r="AG71" s="84">
        <f t="shared" si="21"/>
        <v>0</v>
      </c>
      <c r="AH71" s="84">
        <f t="shared" si="21"/>
        <v>0</v>
      </c>
      <c r="AI71" s="84">
        <f t="shared" si="21"/>
        <v>0</v>
      </c>
      <c r="AJ71" s="84">
        <f t="shared" si="21"/>
        <v>0</v>
      </c>
    </row>
    <row r="72" spans="2:36" s="29" customFormat="1" ht="16">
      <c r="B72" s="342"/>
      <c r="C72" s="342"/>
      <c r="D72" s="342"/>
      <c r="F72" s="86"/>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row>
    <row r="73" spans="2:36" s="38" customFormat="1" ht="16">
      <c r="B73" s="36" t="s">
        <v>137</v>
      </c>
      <c r="C73" s="36"/>
      <c r="D73" s="36"/>
      <c r="E73" s="334"/>
      <c r="G73" s="84">
        <f>IF(Inputs!$G$79="No",0,-(G$70+G$74)*Inputs!$G$80)</f>
        <v>548108.79874930438</v>
      </c>
      <c r="H73" s="84">
        <f>IF(Inputs!$G$79="No",0,-(H$70+H$74)*Inputs!$G$80)</f>
        <v>1100606.320080878</v>
      </c>
      <c r="I73" s="84">
        <f>IF(Inputs!$G$79="No",0,-(I$70+I$74)*Inputs!$G$80)</f>
        <v>534227.17330263031</v>
      </c>
      <c r="J73" s="84">
        <f>IF(Inputs!$G$79="No",0,-(J$70+J$74)*Inputs!$G$80)</f>
        <v>197447.92302687134</v>
      </c>
      <c r="K73" s="84">
        <f>IF(Inputs!$G$79="No",0,-(K$70+K$74)*Inputs!$G$80)</f>
        <v>174811.01257943487</v>
      </c>
      <c r="L73" s="84">
        <f>IF(Inputs!$G$79="No",0,-(L$70+L$74)*Inputs!$G$80)</f>
        <v>-77117.242709586222</v>
      </c>
      <c r="M73" s="84">
        <f>IF(Inputs!$G$79="No",0,-(M$70+M$74)*Inputs!$G$80)</f>
        <v>-328922.13608065405</v>
      </c>
      <c r="N73" s="84">
        <f>IF(Inputs!$G$79="No",0,-(N$70+N$74)*Inputs!$G$80)</f>
        <v>-322424.88533895992</v>
      </c>
      <c r="O73" s="84">
        <f>IF(Inputs!$G$79="No",0,-(O$70+O$74)*Inputs!$G$80)</f>
        <v>-315993.36273959314</v>
      </c>
      <c r="P73" s="84">
        <f>IF(Inputs!$G$79="No",0,-(P$70+P$74)*Inputs!$G$80)</f>
        <v>-342656.45412860921</v>
      </c>
      <c r="Q73" s="84">
        <f>IF(Inputs!$G$79="No",0,-(Q$70+Q$74)*Inputs!$G$80)</f>
        <v>-338084.61838539003</v>
      </c>
      <c r="R73" s="84">
        <f>IF(Inputs!$G$79="No",0,-(R$70+R$74)*Inputs!$G$80)</f>
        <v>-333918.34670303791</v>
      </c>
      <c r="S73" s="84">
        <f>IF(Inputs!$G$79="No",0,-(S$70+S$74)*Inputs!$G$80)</f>
        <v>-330175.2845095619</v>
      </c>
      <c r="T73" s="84">
        <f>IF(Inputs!$G$79="No",0,-(T$70+T$74)*Inputs!$G$80)</f>
        <v>-325941.6744030781</v>
      </c>
      <c r="U73" s="84">
        <f>IF(Inputs!$G$79="No",0,-(U$70+U$74)*Inputs!$G$80)</f>
        <v>-339389.82118968677</v>
      </c>
      <c r="V73" s="84">
        <f>IF(Inputs!$G$79="No",0,-(V$70+V$74)*Inputs!$G$80)</f>
        <v>-320974.67631937913</v>
      </c>
      <c r="W73" s="84">
        <f>IF(Inputs!$G$79="No",0,-(W$70+W$74)*Inputs!$G$80)</f>
        <v>-301892.68807267537</v>
      </c>
      <c r="X73" s="84">
        <f>IF(Inputs!$G$79="No",0,-(X$70+X$74)*Inputs!$G$80)</f>
        <v>-280019.1344596562</v>
      </c>
      <c r="Y73" s="84">
        <f>IF(Inputs!$G$79="No",0,-(Y$70+Y$74)*Inputs!$G$80)</f>
        <v>-257438.41234196513</v>
      </c>
      <c r="Z73" s="84">
        <f>IF(Inputs!$G$79="No",0,-(Z$70+Z$74)*Inputs!$G$80)</f>
        <v>-270475.69183306553</v>
      </c>
      <c r="AA73" s="84">
        <f>IF(Inputs!$G$79="No",0,-(AA$70+AA$74)*Inputs!$G$80)</f>
        <v>0</v>
      </c>
      <c r="AB73" s="84">
        <f>IF(Inputs!$G$79="No",0,-(AB$70+AB$74)*Inputs!$G$80)</f>
        <v>0</v>
      </c>
      <c r="AC73" s="84">
        <f>IF(Inputs!$G$79="No",0,-(AC$70+AC$74)*Inputs!$G$80)</f>
        <v>0</v>
      </c>
      <c r="AD73" s="84">
        <f>IF(Inputs!$G$79="No",0,-(AD$70+AD$74)*Inputs!$G$80)</f>
        <v>0</v>
      </c>
      <c r="AE73" s="84">
        <f>IF(Inputs!$G$79="No",0,-(AE$70+AE$74)*Inputs!$G$80)</f>
        <v>0</v>
      </c>
      <c r="AF73" s="84">
        <f>IF(Inputs!$G$79="No",0,-(AF$70+AF$74)*Inputs!$G$80)</f>
        <v>0</v>
      </c>
      <c r="AG73" s="84">
        <f>IF(Inputs!$G$79="No",0,-(AG$70+AG$74)*Inputs!$G$80)</f>
        <v>0</v>
      </c>
      <c r="AH73" s="84">
        <f>IF(Inputs!$G$79="No",0,-(AH$70+AH$74)*Inputs!$G$80)</f>
        <v>0</v>
      </c>
      <c r="AI73" s="84">
        <f>IF(Inputs!$G$79="No",0,-(AI$70+AI$74)*Inputs!$G$80)</f>
        <v>0</v>
      </c>
      <c r="AJ73" s="84">
        <f>IF(Inputs!$G$79="No",0,-(AJ$70+AJ$74)*Inputs!$G$80)</f>
        <v>0</v>
      </c>
    </row>
    <row r="74" spans="2:36" s="38" customFormat="1" ht="16">
      <c r="B74" s="36" t="s">
        <v>174</v>
      </c>
      <c r="C74" s="36"/>
      <c r="D74" s="36"/>
      <c r="G74" s="84">
        <f>IF(Inputs!$G$79="No",0,-(G$71-IF(AND(Inputs!$Q$43="Cash",Inputs!$Q$45="No"),'Cash Flow'!G$28,0))*Inputs!$G$82)</f>
        <v>145477.74517936262</v>
      </c>
      <c r="H74" s="84">
        <f>IF(Inputs!$G$79="No",0,-(H$71-IF(AND(Inputs!$Q$43="Cash",Inputs!$Q$45="No"),'Cash Flow'!H$28,0))*Inputs!$G$82)</f>
        <v>292120.33475995203</v>
      </c>
      <c r="I74" s="84">
        <f>IF(Inputs!$G$79="No",0,-(I$71-IF(AND(Inputs!$Q$43="Cash",Inputs!$Q$45="No"),'Cash Flow'!I$28,0))*Inputs!$G$82)</f>
        <v>141793.31687969895</v>
      </c>
      <c r="J74" s="84">
        <f>IF(Inputs!$G$79="No",0,-(J$71-IF(AND(Inputs!$Q$43="Cash",Inputs!$Q$45="No"),'Cash Flow'!J$28,0))*Inputs!$G$82)</f>
        <v>52406.162239762889</v>
      </c>
      <c r="K74" s="84">
        <f>IF(Inputs!$G$79="No",0,-(K$71-IF(AND(Inputs!$Q$43="Cash",Inputs!$Q$45="No"),'Cash Flow'!K$28,0))*Inputs!$G$82)</f>
        <v>46397.926836071711</v>
      </c>
      <c r="L74" s="84">
        <f>IF(Inputs!$G$79="No",0,-(L$71-IF(AND(Inputs!$Q$43="Cash",Inputs!$Q$45="No"),'Cash Flow'!L$28,0))*Inputs!$G$82)</f>
        <v>-20468.276753520156</v>
      </c>
      <c r="M74" s="84">
        <f>IF(Inputs!$G$79="No",0,-(M$71-IF(AND(Inputs!$Q$43="Cash",Inputs!$Q$45="No"),'Cash Flow'!M$28,0))*Inputs!$G$82)</f>
        <v>-87301.737913678677</v>
      </c>
      <c r="N74" s="84">
        <f>IF(Inputs!$G$79="No",0,-(N$71-IF(AND(Inputs!$Q$43="Cash",Inputs!$Q$45="No"),'Cash Flow'!N$28,0))*Inputs!$G$82)</f>
        <v>-85577.252939302402</v>
      </c>
      <c r="O74" s="84">
        <f>IF(Inputs!$G$79="No",0,-(O$71-IF(AND(Inputs!$Q$43="Cash",Inputs!$Q$45="No"),'Cash Flow'!O$28,0))*Inputs!$G$82)</f>
        <v>-83870.213373506398</v>
      </c>
      <c r="P74" s="84">
        <f>IF(Inputs!$G$79="No",0,-(P$71-IF(AND(Inputs!$Q$43="Cash",Inputs!$Q$45="No"),'Cash Flow'!P$28,0))*Inputs!$G$82)</f>
        <v>-90947.068230856472</v>
      </c>
      <c r="Q74" s="84">
        <f>IF(Inputs!$G$79="No",0,-(Q$71-IF(AND(Inputs!$Q$43="Cash",Inputs!$Q$45="No"),'Cash Flow'!Q$28,0))*Inputs!$G$82)</f>
        <v>-89733.62236614569</v>
      </c>
      <c r="R74" s="84">
        <f>IF(Inputs!$G$79="No",0,-(R$71-IF(AND(Inputs!$Q$43="Cash",Inputs!$Q$45="No"),'Cash Flow'!R$28,0))*Inputs!$G$82)</f>
        <v>-88627.820358339508</v>
      </c>
      <c r="S74" s="84">
        <f>IF(Inputs!$G$79="No",0,-(S$71-IF(AND(Inputs!$Q$43="Cash",Inputs!$Q$45="No"),'Cash Flow'!S$28,0))*Inputs!$G$82)</f>
        <v>-87634.345615340411</v>
      </c>
      <c r="T74" s="84">
        <f>IF(Inputs!$G$79="No",0,-(T$71-IF(AND(Inputs!$Q$43="Cash",Inputs!$Q$45="No"),'Cash Flow'!T$28,0))*Inputs!$G$82)</f>
        <v>-86510.67080175376</v>
      </c>
      <c r="U74" s="84">
        <f>IF(Inputs!$G$79="No",0,-(U$71-IF(AND(Inputs!$Q$43="Cash",Inputs!$Q$45="No"),'Cash Flow'!U$28,0))*Inputs!$G$82)</f>
        <v>-90080.046217403215</v>
      </c>
      <c r="V74" s="84">
        <f>IF(Inputs!$G$79="No",0,-(V$71-IF(AND(Inputs!$Q$43="Cash",Inputs!$Q$45="No"),'Cash Flow'!V$28,0))*Inputs!$G$82)</f>
        <v>-85192.341880241162</v>
      </c>
      <c r="W74" s="84">
        <f>IF(Inputs!$G$79="No",0,-(W$71-IF(AND(Inputs!$Q$43="Cash",Inputs!$Q$45="No"),'Cash Flow'!W$28,0))*Inputs!$G$82)</f>
        <v>-80127.645546221422</v>
      </c>
      <c r="X74" s="84">
        <f>IF(Inputs!$G$79="No",0,-(X$71-IF(AND(Inputs!$Q$43="Cash",Inputs!$Q$45="No"),'Cash Flow'!X$28,0))*Inputs!$G$82)</f>
        <v>-74322.018513882213</v>
      </c>
      <c r="Y74" s="84">
        <f>IF(Inputs!$G$79="No",0,-(Y$71-IF(AND(Inputs!$Q$43="Cash",Inputs!$Q$45="No"),'Cash Flow'!Y$28,0))*Inputs!$G$82)</f>
        <v>-68328.696484206215</v>
      </c>
      <c r="Z74" s="84">
        <f>IF(Inputs!$G$79="No",0,-(Z$71-IF(AND(Inputs!$Q$43="Cash",Inputs!$Q$45="No"),'Cash Flow'!Z$28,0))*Inputs!$G$82)</f>
        <v>-71789.020470915144</v>
      </c>
      <c r="AA74" s="84">
        <f>IF(Inputs!$G$79="No",0,-(AA$71-IF(AND(Inputs!$Q$43="Cash",Inputs!$Q$45="No"),'Cash Flow'!AA$28,0))*Inputs!$G$82)</f>
        <v>0</v>
      </c>
      <c r="AB74" s="84">
        <f>IF(Inputs!$G$79="No",0,-(AB$71-IF(AND(Inputs!$Q$43="Cash",Inputs!$Q$45="No"),'Cash Flow'!AB$28,0))*Inputs!$G$82)</f>
        <v>0</v>
      </c>
      <c r="AC74" s="84">
        <f>IF(Inputs!$G$79="No",0,-(AC$71-IF(AND(Inputs!$Q$43="Cash",Inputs!$Q$45="No"),'Cash Flow'!AC$28,0))*Inputs!$G$82)</f>
        <v>0</v>
      </c>
      <c r="AD74" s="84">
        <f>IF(Inputs!$G$79="No",0,-(AD$71-IF(AND(Inputs!$Q$43="Cash",Inputs!$Q$45="No"),'Cash Flow'!AD$28,0))*Inputs!$G$82)</f>
        <v>0</v>
      </c>
      <c r="AE74" s="84">
        <f>IF(Inputs!$G$79="No",0,-(AE$71-IF(AND(Inputs!$Q$43="Cash",Inputs!$Q$45="No"),'Cash Flow'!AE$28,0))*Inputs!$G$82)</f>
        <v>0</v>
      </c>
      <c r="AF74" s="84">
        <f>IF(Inputs!$G$79="No",0,-(AF$71-IF(AND(Inputs!$Q$43="Cash",Inputs!$Q$45="No"),'Cash Flow'!AF$28,0))*Inputs!$G$82)</f>
        <v>0</v>
      </c>
      <c r="AG74" s="84">
        <f>IF(Inputs!$G$79="No",0,-(AG$71-IF(AND(Inputs!$Q$43="Cash",Inputs!$Q$45="No"),'Cash Flow'!AG$28,0))*Inputs!$G$82)</f>
        <v>0</v>
      </c>
      <c r="AH74" s="84">
        <f>IF(Inputs!$G$79="No",0,-(AH$71-IF(AND(Inputs!$Q$43="Cash",Inputs!$Q$45="No"),'Cash Flow'!AH$28,0))*Inputs!$G$82)</f>
        <v>0</v>
      </c>
      <c r="AI74" s="84">
        <f>IF(Inputs!$G$79="No",0,-(AI$71-IF(AND(Inputs!$Q$43="Cash",Inputs!$Q$45="No"),'Cash Flow'!AI$28,0))*Inputs!$G$82)</f>
        <v>0</v>
      </c>
      <c r="AJ74" s="84">
        <f>IF(Inputs!$G$79="No",0,-(AJ$71-IF(AND(Inputs!$Q$43="Cash",Inputs!$Q$45="No"),'Cash Flow'!AJ$28,0))*Inputs!$G$82)</f>
        <v>0</v>
      </c>
    </row>
    <row r="75" spans="2:36" s="29" customFormat="1" ht="16">
      <c r="B75" s="36" t="s">
        <v>262</v>
      </c>
      <c r="C75" s="36"/>
      <c r="D75" s="36"/>
      <c r="E75" s="334"/>
      <c r="F75" s="38"/>
      <c r="G75" s="41">
        <f>IF(AND(Inputs!$Q$24="Cost-Based",Inputs!$Q$25="Cash Grant",G$2=1),Inputs!$Q$28,IF(Inputs!$G$81="as generated",'Cash Flow'!G$182,-G$189))</f>
        <v>4889175</v>
      </c>
      <c r="H75" s="41">
        <f>IF(AND(Inputs!$Q$24="Cost-Based",Inputs!$Q$25="Cash Grant",H$2=1),Inputs!$Q$28,IF(Inputs!$G$81="as generated",'Cash Flow'!H$182,-H$189))</f>
        <v>0</v>
      </c>
      <c r="I75" s="41">
        <f>IF(AND(Inputs!$Q$24="Cost-Based",Inputs!$Q$25="Cash Grant",I$2=1),Inputs!$Q$28,IF(Inputs!$G$81="as generated",'Cash Flow'!I$182,-I$189))</f>
        <v>0</v>
      </c>
      <c r="J75" s="41">
        <f>IF(AND(Inputs!$Q$24="Cost-Based",Inputs!$Q$25="Cash Grant",J$2=1),Inputs!$Q$28,IF(Inputs!$G$81="as generated",'Cash Flow'!J$182,-J$189))</f>
        <v>0</v>
      </c>
      <c r="K75" s="41">
        <f>IF(AND(Inputs!$Q$24="Cost-Based",Inputs!$Q$25="Cash Grant",K$2=1),Inputs!$Q$28,IF(Inputs!$G$81="as generated",'Cash Flow'!K$182,-K$189))</f>
        <v>0</v>
      </c>
      <c r="L75" s="41">
        <f>IF(AND(Inputs!$Q$24="Cost-Based",Inputs!$Q$25="Cash Grant",L$2=1),Inputs!$Q$28,IF(Inputs!$G$81="as generated",'Cash Flow'!L$182,-L$189))</f>
        <v>0</v>
      </c>
      <c r="M75" s="41">
        <f>IF(AND(Inputs!$Q$24="Cost-Based",Inputs!$Q$25="Cash Grant",M$2=1),Inputs!$Q$28,IF(Inputs!$G$81="as generated",'Cash Flow'!M$182,-M$189))</f>
        <v>0</v>
      </c>
      <c r="N75" s="41">
        <f>IF(AND(Inputs!$Q$24="Cost-Based",Inputs!$Q$25="Cash Grant",N$2=1),Inputs!$Q$28,IF(Inputs!$G$81="as generated",'Cash Flow'!N$182,-N$189))</f>
        <v>0</v>
      </c>
      <c r="O75" s="41">
        <f>IF(AND(Inputs!$Q$24="Cost-Based",Inputs!$Q$25="Cash Grant",O$2=1),Inputs!$Q$28,IF(Inputs!$G$81="as generated",'Cash Flow'!O$182,-O$189))</f>
        <v>0</v>
      </c>
      <c r="P75" s="41">
        <f>IF(AND(Inputs!$Q$24="Cost-Based",Inputs!$Q$25="Cash Grant",P$2=1),Inputs!$Q$28,IF(Inputs!$G$81="as generated",'Cash Flow'!P$182,-P$189))</f>
        <v>0</v>
      </c>
      <c r="Q75" s="41">
        <f>IF(AND(Inputs!$Q$24="Cost-Based",Inputs!$Q$25="Cash Grant",Q$2=1),Inputs!$Q$28,IF(Inputs!$G$81="as generated",'Cash Flow'!Q$182,-Q$189))</f>
        <v>0</v>
      </c>
      <c r="R75" s="41">
        <f>IF(AND(Inputs!$Q$24="Cost-Based",Inputs!$Q$25="Cash Grant",R$2=1),Inputs!$Q$28,IF(Inputs!$G$81="as generated",'Cash Flow'!R$182,-R$189))</f>
        <v>0</v>
      </c>
      <c r="S75" s="41">
        <f>IF(AND(Inputs!$Q$24="Cost-Based",Inputs!$Q$25="Cash Grant",S$2=1),Inputs!$Q$28,IF(Inputs!$G$81="as generated",'Cash Flow'!S$182,-S$189))</f>
        <v>0</v>
      </c>
      <c r="T75" s="41">
        <f>IF(AND(Inputs!$Q$24="Cost-Based",Inputs!$Q$25="Cash Grant",T$2=1),Inputs!$Q$28,IF(Inputs!$G$81="as generated",'Cash Flow'!T$182,-T$189))</f>
        <v>0</v>
      </c>
      <c r="U75" s="41">
        <f>IF(AND(Inputs!$Q$24="Cost-Based",Inputs!$Q$25="Cash Grant",U$2=1),Inputs!$Q$28,IF(Inputs!$G$81="as generated",'Cash Flow'!U$182,-U$189))</f>
        <v>0</v>
      </c>
      <c r="V75" s="41">
        <f>IF(AND(Inputs!$Q$24="Cost-Based",Inputs!$Q$25="Cash Grant",V$2=1),Inputs!$Q$28,IF(Inputs!$G$81="as generated",'Cash Flow'!V$182,-V$189))</f>
        <v>0</v>
      </c>
      <c r="W75" s="41">
        <f>IF(AND(Inputs!$Q$24="Cost-Based",Inputs!$Q$25="Cash Grant",W$2=1),Inputs!$Q$28,IF(Inputs!$G$81="as generated",'Cash Flow'!W$182,-W$189))</f>
        <v>0</v>
      </c>
      <c r="X75" s="41">
        <f>IF(AND(Inputs!$Q$24="Cost-Based",Inputs!$Q$25="Cash Grant",X$2=1),Inputs!$Q$28,IF(Inputs!$G$81="as generated",'Cash Flow'!X$182,-X$189))</f>
        <v>0</v>
      </c>
      <c r="Y75" s="41">
        <f>IF(AND(Inputs!$Q$24="Cost-Based",Inputs!$Q$25="Cash Grant",Y$2=1),Inputs!$Q$28,IF(Inputs!$G$81="as generated",'Cash Flow'!Y$182,-Y$189))</f>
        <v>0</v>
      </c>
      <c r="Z75" s="41">
        <f>IF(AND(Inputs!$Q$24="Cost-Based",Inputs!$Q$25="Cash Grant",Z$2=1),Inputs!$Q$28,IF(Inputs!$G$81="as generated",'Cash Flow'!Z$182,-Z$189))</f>
        <v>0</v>
      </c>
      <c r="AA75" s="41">
        <f>IF(AND(Inputs!$Q$24="Cost-Based",Inputs!$Q$25="Cash Grant",AA$2=1),Inputs!$Q$28,IF(Inputs!$G$81="as generated",'Cash Flow'!AA$182,-AA$189))</f>
        <v>0</v>
      </c>
      <c r="AB75" s="41">
        <f>IF(AND(Inputs!$Q$24="Cost-Based",Inputs!$Q$25="Cash Grant",AB$2=1),Inputs!$Q$28,IF(Inputs!$G$81="as generated",'Cash Flow'!AB$182,-AB$189))</f>
        <v>0</v>
      </c>
      <c r="AC75" s="41">
        <f>IF(AND(Inputs!$Q$24="Cost-Based",Inputs!$Q$25="Cash Grant",AC$2=1),Inputs!$Q$28,IF(Inputs!$G$81="as generated",'Cash Flow'!AC$182,-AC$189))</f>
        <v>0</v>
      </c>
      <c r="AD75" s="41">
        <f>IF(AND(Inputs!$Q$24="Cost-Based",Inputs!$Q$25="Cash Grant",AD$2=1),Inputs!$Q$28,IF(Inputs!$G$81="as generated",'Cash Flow'!AD$182,-AD$189))</f>
        <v>0</v>
      </c>
      <c r="AE75" s="41">
        <f>IF(AND(Inputs!$Q$24="Cost-Based",Inputs!$Q$25="Cash Grant",AE$2=1),Inputs!$Q$28,IF(Inputs!$G$81="as generated",'Cash Flow'!AE$182,-AE$189))</f>
        <v>0</v>
      </c>
      <c r="AF75" s="41">
        <f>IF(AND(Inputs!$Q$24="Cost-Based",Inputs!$Q$25="Cash Grant",AF$2=1),Inputs!$Q$28,IF(Inputs!$G$81="as generated",'Cash Flow'!AF$182,-AF$189))</f>
        <v>0</v>
      </c>
      <c r="AG75" s="41">
        <f>IF(AND(Inputs!$Q$24="Cost-Based",Inputs!$Q$25="Cash Grant",AG$2=1),Inputs!$Q$28,IF(Inputs!$G$81="as generated",'Cash Flow'!AG$182,-AG$189))</f>
        <v>0</v>
      </c>
      <c r="AH75" s="41">
        <f>IF(AND(Inputs!$Q$24="Cost-Based",Inputs!$Q$25="Cash Grant",AH$2=1),Inputs!$Q$28,IF(Inputs!$G$81="as generated",'Cash Flow'!AH$182,-AH$189))</f>
        <v>0</v>
      </c>
      <c r="AI75" s="41">
        <f>IF(AND(Inputs!$Q$24="Cost-Based",Inputs!$Q$25="Cash Grant",AI$2=1),Inputs!$Q$28,IF(Inputs!$G$81="as generated",'Cash Flow'!AI$182,-AI$189))</f>
        <v>0</v>
      </c>
      <c r="AJ75" s="41">
        <f>IF(AND(Inputs!$Q$24="Cost-Based",Inputs!$Q$25="Cash Grant",AJ$2=1),Inputs!$Q$28,IF(Inputs!$G$81="as generated",'Cash Flow'!AJ$182,-AJ$189))</f>
        <v>0</v>
      </c>
    </row>
    <row r="76" spans="2:36" s="29" customFormat="1" ht="16">
      <c r="B76" s="39" t="s">
        <v>140</v>
      </c>
      <c r="C76" s="39"/>
      <c r="D76" s="39"/>
      <c r="E76" s="335"/>
      <c r="F76" s="40"/>
      <c r="G76" s="42">
        <f>IF(Inputs!$G$83="as generated",'Cash Flow'!G$196,-G$203)</f>
        <v>0</v>
      </c>
      <c r="H76" s="42">
        <f>IF(Inputs!$G$83="as generated",'Cash Flow'!H$196,-H$203)</f>
        <v>0</v>
      </c>
      <c r="I76" s="42">
        <f>IF(Inputs!$G$83="as generated",'Cash Flow'!I$196,-I$203)</f>
        <v>0</v>
      </c>
      <c r="J76" s="42">
        <f>IF(Inputs!$G$83="as generated",'Cash Flow'!J$196,-J$203)</f>
        <v>0</v>
      </c>
      <c r="K76" s="42">
        <f>IF(Inputs!$G$83="as generated",'Cash Flow'!K$196,-K$203)</f>
        <v>0</v>
      </c>
      <c r="L76" s="42">
        <f>IF(Inputs!$G$83="as generated",'Cash Flow'!L$196,-L$203)</f>
        <v>0</v>
      </c>
      <c r="M76" s="42">
        <f>IF(Inputs!$G$83="as generated",'Cash Flow'!M$196,-M$203)</f>
        <v>0</v>
      </c>
      <c r="N76" s="42">
        <f>IF(Inputs!$G$83="as generated",'Cash Flow'!N$196,-N$203)</f>
        <v>0</v>
      </c>
      <c r="O76" s="42">
        <f>IF(Inputs!$G$83="as generated",'Cash Flow'!O$196,-O$203)</f>
        <v>0</v>
      </c>
      <c r="P76" s="42">
        <f>IF(Inputs!$G$83="as generated",'Cash Flow'!P$196,-P$203)</f>
        <v>0</v>
      </c>
      <c r="Q76" s="42">
        <f>IF(Inputs!$G$83="as generated",'Cash Flow'!Q$196,-Q$203)</f>
        <v>0</v>
      </c>
      <c r="R76" s="42">
        <f>IF(Inputs!$G$83="as generated",'Cash Flow'!R$196,-R$203)</f>
        <v>0</v>
      </c>
      <c r="S76" s="42">
        <f>IF(Inputs!$G$83="as generated",'Cash Flow'!S$196,-S$203)</f>
        <v>0</v>
      </c>
      <c r="T76" s="42">
        <f>IF(Inputs!$G$83="as generated",'Cash Flow'!T$196,-T$203)</f>
        <v>0</v>
      </c>
      <c r="U76" s="42">
        <f>IF(Inputs!$G$83="as generated",'Cash Flow'!U$196,-U$203)</f>
        <v>0</v>
      </c>
      <c r="V76" s="42">
        <f>IF(Inputs!$G$83="as generated",'Cash Flow'!V$196,-V$203)</f>
        <v>0</v>
      </c>
      <c r="W76" s="42">
        <f>IF(Inputs!$G$83="as generated",'Cash Flow'!W$196,-W$203)</f>
        <v>0</v>
      </c>
      <c r="X76" s="42">
        <f>IF(Inputs!$G$83="as generated",'Cash Flow'!X$196,-X$203)</f>
        <v>0</v>
      </c>
      <c r="Y76" s="42">
        <f>IF(Inputs!$G$83="as generated",'Cash Flow'!Y$196,-Y$203)</f>
        <v>0</v>
      </c>
      <c r="Z76" s="42">
        <f>IF(Inputs!$G$83="as generated",'Cash Flow'!Z$196,-Z$203)</f>
        <v>0</v>
      </c>
      <c r="AA76" s="42">
        <f>IF(Inputs!$G$83="as generated",'Cash Flow'!AA$196,-AA$203)</f>
        <v>0</v>
      </c>
      <c r="AB76" s="42">
        <f>IF(Inputs!$G$83="as generated",'Cash Flow'!AB$196,-AB$203)</f>
        <v>0</v>
      </c>
      <c r="AC76" s="42">
        <f>IF(Inputs!$G$83="as generated",'Cash Flow'!AC$196,-AC$203)</f>
        <v>0</v>
      </c>
      <c r="AD76" s="42">
        <f>IF(Inputs!$G$83="as generated",'Cash Flow'!AD$196,-AD$203)</f>
        <v>0</v>
      </c>
      <c r="AE76" s="42">
        <f>IF(Inputs!$G$83="as generated",'Cash Flow'!AE$196,-AE$203)</f>
        <v>0</v>
      </c>
      <c r="AF76" s="42">
        <f>IF(Inputs!$G$83="as generated",'Cash Flow'!AF$196,-AF$203)</f>
        <v>0</v>
      </c>
      <c r="AG76" s="42">
        <f>IF(Inputs!$G$83="as generated",'Cash Flow'!AG$196,-AG$203)</f>
        <v>0</v>
      </c>
      <c r="AH76" s="42">
        <f>IF(Inputs!$G$83="as generated",'Cash Flow'!AH$196,-AH$203)</f>
        <v>0</v>
      </c>
      <c r="AI76" s="42">
        <f>IF(Inputs!$G$83="as generated",'Cash Flow'!AI$196,-AI$203)</f>
        <v>0</v>
      </c>
      <c r="AJ76" s="42">
        <f>IF(Inputs!$G$83="as generated",'Cash Flow'!AJ$196,-AJ$203)</f>
        <v>0</v>
      </c>
    </row>
    <row r="77" spans="2:36" s="29" customFormat="1" ht="16">
      <c r="B77" s="34" t="s">
        <v>139</v>
      </c>
      <c r="C77" s="34"/>
      <c r="D77" s="34"/>
      <c r="E77" s="52"/>
      <c r="F77" s="44">
        <f t="shared" ref="F77:AJ77" si="22">F64+SUM(F73:F76)</f>
        <v>-10402500</v>
      </c>
      <c r="G77" s="44">
        <f>G64+SUM(G73:G76)</f>
        <v>6347275.3323281333</v>
      </c>
      <c r="H77" s="44">
        <f t="shared" si="22"/>
        <v>2106793.3281790721</v>
      </c>
      <c r="I77" s="44">
        <f t="shared" si="22"/>
        <v>1338005.4326405218</v>
      </c>
      <c r="J77" s="44">
        <f t="shared" si="22"/>
        <v>858064.451014978</v>
      </c>
      <c r="K77" s="44">
        <f t="shared" si="22"/>
        <v>868166.0484182965</v>
      </c>
      <c r="L77" s="44">
        <f t="shared" si="22"/>
        <v>495875.65960252157</v>
      </c>
      <c r="M77" s="44">
        <f t="shared" si="22"/>
        <v>122017.30623052432</v>
      </c>
      <c r="N77" s="44">
        <f t="shared" si="22"/>
        <v>73233.792811697465</v>
      </c>
      <c r="O77" s="44">
        <f t="shared" si="22"/>
        <v>22518.360733085021</v>
      </c>
      <c r="P77" s="44">
        <f t="shared" si="22"/>
        <v>30598.253038999508</v>
      </c>
      <c r="Q77" s="44">
        <f t="shared" si="22"/>
        <v>-22180.860565052135</v>
      </c>
      <c r="R77" s="44">
        <f t="shared" si="22"/>
        <v>-77356.308402215829</v>
      </c>
      <c r="S77" s="44">
        <f t="shared" si="22"/>
        <v>-135017.13646373368</v>
      </c>
      <c r="T77" s="44">
        <f t="shared" si="22"/>
        <v>1047479.9804540814</v>
      </c>
      <c r="U77" s="44">
        <f t="shared" si="22"/>
        <v>657589.62294816831</v>
      </c>
      <c r="V77" s="44">
        <f t="shared" si="22"/>
        <v>616776.12574777566</v>
      </c>
      <c r="W77" s="44">
        <f t="shared" si="22"/>
        <v>574749.52308532572</v>
      </c>
      <c r="X77" s="44">
        <f t="shared" si="22"/>
        <v>534125.71994132583</v>
      </c>
      <c r="Y77" s="44">
        <f t="shared" si="22"/>
        <v>492191.58244257816</v>
      </c>
      <c r="Z77" s="44">
        <f t="shared" si="22"/>
        <v>1580467.8160164244</v>
      </c>
      <c r="AA77" s="44">
        <f t="shared" si="22"/>
        <v>0</v>
      </c>
      <c r="AB77" s="44">
        <f t="shared" si="22"/>
        <v>0</v>
      </c>
      <c r="AC77" s="44">
        <f t="shared" si="22"/>
        <v>0</v>
      </c>
      <c r="AD77" s="44">
        <f t="shared" si="22"/>
        <v>0</v>
      </c>
      <c r="AE77" s="44">
        <f t="shared" si="22"/>
        <v>0</v>
      </c>
      <c r="AF77" s="44">
        <f t="shared" si="22"/>
        <v>0</v>
      </c>
      <c r="AG77" s="44">
        <f t="shared" si="22"/>
        <v>0</v>
      </c>
      <c r="AH77" s="44">
        <f t="shared" si="22"/>
        <v>0</v>
      </c>
      <c r="AI77" s="44">
        <f t="shared" si="22"/>
        <v>0</v>
      </c>
      <c r="AJ77" s="44">
        <f t="shared" si="22"/>
        <v>0</v>
      </c>
    </row>
    <row r="78" spans="2:36" s="29" customFormat="1" ht="17">
      <c r="B78" s="54" t="s">
        <v>138</v>
      </c>
      <c r="C78" s="54"/>
      <c r="D78" s="54"/>
      <c r="E78" s="52"/>
      <c r="F78" s="44"/>
      <c r="G78" s="380">
        <f>IF(ISERROR(IRR($F77:G77)),"NA",IRR($F77:G77))</f>
        <v>-0.3898317392618954</v>
      </c>
      <c r="H78" s="380">
        <f>IF(ISERROR(IRR($F77:H77)),"NA",IRR($F77:H77))</f>
        <v>-0.15122117254424394</v>
      </c>
      <c r="I78" s="380">
        <f>IF(ISERROR(IRR($F77:I77)),"NA",IRR($F77:I77))</f>
        <v>-3.9536563449717677E-2</v>
      </c>
      <c r="J78" s="380">
        <f>IF(ISERROR(IRR($F77:J77)),"NA",IRR($F77:J77))</f>
        <v>1.4067104990236112E-2</v>
      </c>
      <c r="K78" s="380">
        <f>IF(ISERROR(IRR($F77:K77)),"NA",IRR($F77:K77))</f>
        <v>5.516937802484323E-2</v>
      </c>
      <c r="L78" s="380">
        <f>IF(ISERROR(IRR($F77:L77)),"NA",IRR($F77:L77))</f>
        <v>7.3448675354219617E-2</v>
      </c>
      <c r="M78" s="380">
        <f>IF(ISERROR(IRR($F77:M77)),"NA",IRR($F77:M77))</f>
        <v>7.7290328450246415E-2</v>
      </c>
      <c r="N78" s="380">
        <f>IF(ISERROR(IRR($F77:N77)),"NA",IRR($F77:N77))</f>
        <v>7.9368820489280623E-2</v>
      </c>
      <c r="O78" s="380">
        <f>IF(ISERROR(IRR($F77:O77)),"NA",IRR($F77:O77))</f>
        <v>7.9951996687817273E-2</v>
      </c>
      <c r="P78" s="380">
        <f>IF(ISERROR(IRR($F77:P77)),"NA",IRR($F77:P77))</f>
        <v>8.0679124498113763E-2</v>
      </c>
      <c r="Q78" s="380">
        <f>IF(ISERROR(IRR($F77:Q77)),"NA",IRR($F77:Q77))</f>
        <v>8.0192013076623381E-2</v>
      </c>
      <c r="R78" s="380">
        <f>IF(ISERROR(IRR($F77:R77)),"NA",IRR($F77:R77))</f>
        <v>7.858953070974084E-2</v>
      </c>
      <c r="S78" s="380">
        <f>IF(ISERROR(IRR($F77:S77)),"NA",IRR($F77:S77))</f>
        <v>7.5883795890590688E-2</v>
      </c>
      <c r="T78" s="380">
        <f>IF(ISERROR(IRR($F77:T77)),"NA",IRR($F77:T77))</f>
        <v>9.2529425809598109E-2</v>
      </c>
      <c r="U78" s="380">
        <f>IF(ISERROR(IRR($F77:U77)),"NA",IRR($F77:U77))</f>
        <v>9.9958835914971678E-2</v>
      </c>
      <c r="V78" s="380">
        <f>IF(ISERROR(IRR($F77:V77)),"NA",IRR($F77:V77))</f>
        <v>0.10545160986673552</v>
      </c>
      <c r="W78" s="380">
        <f>IF(ISERROR(IRR($F77:W77)),"NA",IRR($F77:W77))</f>
        <v>0.10959256279756691</v>
      </c>
      <c r="X78" s="380">
        <f>IF(ISERROR(IRR($F77:X77)),"NA",IRR($F77:X77))</f>
        <v>0.11276451730506665</v>
      </c>
      <c r="Y78" s="380">
        <f>IF(ISERROR(IRR($F77:Y77)),"NA",IRR($F77:Y77))</f>
        <v>0.11520813241858097</v>
      </c>
      <c r="Z78" s="380">
        <f>IF(ISERROR(IRR($F77:Z77)),"NA",IRR($F77:Z77))</f>
        <v>0.12144848034410982</v>
      </c>
      <c r="AA78" s="380">
        <f>IF(ISERROR(IRR($F77:AA77)),"NA",IRR($F77:AA77))</f>
        <v>0.12144848034410982</v>
      </c>
      <c r="AB78" s="380">
        <f>IF(ISERROR(IRR($F77:AB77)),"NA",IRR($F77:AB77))</f>
        <v>0.12144848034410982</v>
      </c>
      <c r="AC78" s="380">
        <f>IF(ISERROR(IRR($F77:AC77)),"NA",IRR($F77:AC77))</f>
        <v>0.12144848034410982</v>
      </c>
      <c r="AD78" s="380">
        <f>IF(ISERROR(IRR($F77:AD77)),"NA",IRR($F77:AD77))</f>
        <v>0.12144848034410982</v>
      </c>
      <c r="AE78" s="380">
        <f>IF(ISERROR(IRR($F77:AE77)),"NA",IRR($F77:AE77))</f>
        <v>0.12144848034410982</v>
      </c>
      <c r="AF78" s="380">
        <f>IF(ISERROR(IRR($F77:AF77)),"NA",IRR($F77:AF77))</f>
        <v>0.12144848034410982</v>
      </c>
      <c r="AG78" s="380">
        <f>IF(ISERROR(IRR($F77:AG77)),"NA",IRR($F77:AG77))</f>
        <v>0.12144848034410982</v>
      </c>
      <c r="AH78" s="380">
        <f>IF(ISERROR(IRR($F77:AH77)),"NA",IRR($F77:AH77))</f>
        <v>0.12144848034410982</v>
      </c>
      <c r="AI78" s="380">
        <f>IF(ISERROR(IRR($F77:AI77)),"NA",IRR($F77:AI77))</f>
        <v>0.12144848034410982</v>
      </c>
      <c r="AJ78" s="380">
        <f>IF(ISERROR(IRR($F77:AJ77)),"NA",IRR($F77:AJ77))</f>
        <v>0.12144848034410982</v>
      </c>
    </row>
    <row r="79" spans="2:36" s="29" customFormat="1" ht="17" thickBot="1">
      <c r="B79" s="34"/>
      <c r="C79" s="34"/>
      <c r="D79" s="34"/>
      <c r="E79" s="56"/>
      <c r="F79" s="396"/>
      <c r="G79" s="396"/>
      <c r="H79" s="396"/>
      <c r="I79" s="396"/>
      <c r="J79" s="396"/>
      <c r="K79" s="396"/>
      <c r="L79" s="396"/>
      <c r="M79" s="396"/>
      <c r="N79" s="44"/>
      <c r="O79" s="44"/>
      <c r="P79" s="44"/>
      <c r="Q79" s="44"/>
      <c r="R79" s="44"/>
      <c r="S79" s="44"/>
      <c r="T79" s="44"/>
      <c r="U79" s="44"/>
      <c r="V79" s="44"/>
      <c r="W79" s="44"/>
      <c r="X79" s="44"/>
      <c r="Y79" s="44"/>
      <c r="Z79" s="44"/>
      <c r="AA79" s="44"/>
      <c r="AB79" s="44"/>
      <c r="AC79" s="44"/>
      <c r="AD79" s="44"/>
      <c r="AE79" s="44"/>
      <c r="AF79" s="44"/>
      <c r="AG79" s="44"/>
      <c r="AH79" s="44"/>
      <c r="AI79" s="44"/>
      <c r="AJ79" s="44"/>
    </row>
    <row r="80" spans="2:36" s="29" customFormat="1" ht="17" thickBot="1">
      <c r="B80" s="816" t="s">
        <v>350</v>
      </c>
      <c r="C80" s="817"/>
      <c r="D80" s="509">
        <f>IRR(F64:AJ64)</f>
        <v>3.3267662564944622E-2</v>
      </c>
      <c r="F80" s="44"/>
      <c r="G80" s="464" t="s">
        <v>177</v>
      </c>
      <c r="H80" s="473"/>
      <c r="I80" s="473"/>
      <c r="J80" s="474"/>
      <c r="K80" s="473"/>
      <c r="L80" s="44"/>
      <c r="O80" s="44"/>
      <c r="P80" s="44"/>
      <c r="Q80" s="44"/>
      <c r="R80" s="44"/>
      <c r="S80" s="44"/>
      <c r="T80" s="44"/>
      <c r="U80" s="44"/>
      <c r="V80" s="44"/>
      <c r="W80" s="44"/>
      <c r="X80" s="44"/>
      <c r="Y80" s="44"/>
      <c r="Z80" s="44"/>
      <c r="AA80" s="44"/>
      <c r="AB80" s="44"/>
      <c r="AC80" s="44"/>
      <c r="AD80" s="44"/>
      <c r="AE80" s="44"/>
      <c r="AF80" s="44"/>
      <c r="AG80" s="44"/>
      <c r="AH80" s="44"/>
      <c r="AI80" s="44"/>
      <c r="AJ80" s="44"/>
    </row>
    <row r="81" spans="2:36" s="29" customFormat="1" ht="18" thickBot="1">
      <c r="B81" s="511" t="s">
        <v>351</v>
      </c>
      <c r="C81" s="512"/>
      <c r="D81" s="509">
        <f>IRR(F77:AJ77)</f>
        <v>0.12144848034410982</v>
      </c>
      <c r="F81" s="44"/>
      <c r="G81" s="466" t="s">
        <v>266</v>
      </c>
      <c r="H81" s="475"/>
      <c r="I81" s="471"/>
      <c r="J81" s="472"/>
      <c r="K81" s="472"/>
      <c r="L81" s="44"/>
      <c r="O81" s="44"/>
      <c r="P81" s="44"/>
      <c r="Q81" s="44"/>
      <c r="R81" s="44"/>
      <c r="S81" s="44"/>
      <c r="T81" s="44"/>
      <c r="U81" s="44"/>
      <c r="V81" s="44"/>
      <c r="W81" s="44"/>
      <c r="X81" s="44"/>
      <c r="Y81" s="44"/>
      <c r="Z81" s="44"/>
      <c r="AA81" s="44"/>
      <c r="AB81" s="44"/>
      <c r="AC81" s="44"/>
      <c r="AD81" s="44"/>
      <c r="AE81" s="44"/>
      <c r="AF81" s="44"/>
      <c r="AG81" s="44"/>
      <c r="AH81" s="44"/>
      <c r="AI81" s="44"/>
      <c r="AJ81" s="44"/>
    </row>
    <row r="82" spans="2:36" s="29" customFormat="1" ht="17" thickBot="1">
      <c r="B82" s="818">
        <f>Inputs!$G$68</f>
        <v>0.12</v>
      </c>
      <c r="C82" s="819"/>
      <c r="D82" s="510">
        <f>NPV(Inputs!$G$68,'Cash Flow'!F77:AJ77)</f>
        <v>36223.421390774507</v>
      </c>
      <c r="G82" s="465">
        <f>AVERAGE(R223:S223)</f>
        <v>12.849999999999998</v>
      </c>
      <c r="H82" s="475"/>
      <c r="I82" s="471"/>
      <c r="J82" s="476"/>
      <c r="K82" s="471"/>
    </row>
    <row r="83" spans="2:36" s="29" customFormat="1" ht="17" thickBot="1">
      <c r="B83" s="57"/>
      <c r="C83" s="57"/>
      <c r="D83" s="57"/>
      <c r="E83" s="58"/>
      <c r="F83" s="350"/>
      <c r="G83" s="333"/>
      <c r="H83" s="350"/>
      <c r="I83" s="350"/>
      <c r="J83" s="350"/>
      <c r="K83" s="350"/>
      <c r="L83" s="350"/>
      <c r="M83" s="350"/>
      <c r="N83" s="350"/>
      <c r="O83" s="350"/>
      <c r="P83" s="350"/>
      <c r="Q83" s="350"/>
      <c r="R83" s="350"/>
      <c r="S83" s="350"/>
      <c r="T83" s="350"/>
      <c r="U83" s="350"/>
      <c r="V83" s="350"/>
      <c r="W83" s="350"/>
      <c r="X83" s="350"/>
      <c r="Y83" s="350"/>
      <c r="Z83" s="350"/>
      <c r="AA83" s="350"/>
      <c r="AB83" s="350"/>
      <c r="AC83" s="350"/>
      <c r="AD83" s="350"/>
      <c r="AE83" s="350"/>
      <c r="AF83" s="350"/>
      <c r="AG83" s="350"/>
      <c r="AH83" s="350"/>
      <c r="AI83" s="350"/>
      <c r="AJ83" s="350"/>
    </row>
    <row r="84" spans="2:36" s="29" customFormat="1" ht="16">
      <c r="B84" s="59"/>
      <c r="C84" s="59"/>
      <c r="D84" s="59"/>
      <c r="E84" s="60"/>
      <c r="F84" s="60"/>
      <c r="G84" s="61"/>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0"/>
      <c r="AI84" s="60"/>
      <c r="AJ84" s="60"/>
    </row>
    <row r="85" spans="2:36" s="29" customFormat="1" ht="16">
      <c r="B85" s="62" t="s">
        <v>72</v>
      </c>
      <c r="C85" s="62"/>
      <c r="D85" s="62"/>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row>
    <row r="86" spans="2:36" s="29" customFormat="1" ht="17" thickBot="1">
      <c r="B86" s="89"/>
      <c r="C86" s="89"/>
      <c r="D86" s="89"/>
      <c r="E86" s="89"/>
      <c r="F86" s="89"/>
      <c r="G86" s="89"/>
      <c r="H86" s="89"/>
      <c r="I86" s="89"/>
      <c r="J86" s="89"/>
      <c r="K86" s="89"/>
      <c r="L86" s="89"/>
      <c r="M86" s="89"/>
      <c r="N86" s="89"/>
      <c r="O86" s="89"/>
      <c r="P86" s="89"/>
      <c r="Q86" s="89"/>
      <c r="R86" s="89"/>
      <c r="S86" s="89"/>
      <c r="T86" s="89"/>
      <c r="U86" s="89"/>
      <c r="V86" s="89"/>
      <c r="W86" s="89"/>
      <c r="X86" s="89"/>
      <c r="Y86" s="89"/>
      <c r="Z86" s="89"/>
      <c r="AA86" s="89"/>
      <c r="AB86" s="89"/>
      <c r="AC86" s="89"/>
      <c r="AD86" s="89"/>
      <c r="AE86" s="89"/>
      <c r="AF86" s="89"/>
      <c r="AG86" s="89"/>
      <c r="AH86" s="89"/>
      <c r="AI86" s="89"/>
      <c r="AJ86" s="89"/>
    </row>
    <row r="87" spans="2:36" s="29" customFormat="1" ht="16">
      <c r="B87" s="259"/>
      <c r="C87" s="259"/>
      <c r="D87" s="259"/>
      <c r="E87" s="259"/>
      <c r="F87" s="274"/>
      <c r="G87" s="284"/>
      <c r="H87" s="285"/>
      <c r="I87" s="259"/>
      <c r="J87" s="259"/>
      <c r="K87" s="259"/>
      <c r="L87" s="259"/>
      <c r="M87" s="259"/>
      <c r="N87" s="259"/>
      <c r="O87" s="259"/>
      <c r="P87" s="259"/>
      <c r="Q87" s="259"/>
      <c r="R87" s="259"/>
      <c r="S87" s="259"/>
      <c r="T87" s="259"/>
      <c r="U87" s="259"/>
      <c r="V87" s="259"/>
      <c r="W87" s="259"/>
      <c r="X87" s="259"/>
      <c r="Y87" s="259"/>
      <c r="Z87" s="259"/>
      <c r="AA87" s="259"/>
      <c r="AB87" s="259"/>
      <c r="AC87" s="259"/>
      <c r="AD87" s="259"/>
      <c r="AE87" s="259"/>
      <c r="AF87" s="259"/>
      <c r="AG87" s="259"/>
      <c r="AH87" s="259"/>
      <c r="AI87" s="259"/>
      <c r="AJ87" s="259"/>
    </row>
    <row r="88" spans="2:36" s="29" customFormat="1" ht="16">
      <c r="B88" s="258" t="s">
        <v>80</v>
      </c>
      <c r="C88" s="258"/>
      <c r="D88" s="258"/>
      <c r="E88" s="259"/>
      <c r="F88" s="259"/>
      <c r="G88" s="259"/>
      <c r="H88" s="259"/>
      <c r="I88" s="259"/>
      <c r="J88" s="259"/>
      <c r="K88" s="259"/>
      <c r="L88" s="259"/>
      <c r="M88" s="259"/>
      <c r="N88" s="259"/>
      <c r="O88" s="259"/>
      <c r="P88" s="259"/>
      <c r="Q88" s="259"/>
      <c r="R88" s="259"/>
      <c r="S88" s="259"/>
      <c r="T88" s="259"/>
      <c r="U88" s="259"/>
      <c r="V88" s="259"/>
      <c r="W88" s="259"/>
      <c r="X88" s="259"/>
      <c r="Y88" s="259"/>
      <c r="Z88" s="259"/>
      <c r="AA88" s="259"/>
      <c r="AB88" s="259"/>
      <c r="AC88" s="259"/>
      <c r="AD88" s="259"/>
      <c r="AE88" s="259"/>
      <c r="AF88" s="259"/>
      <c r="AG88" s="259"/>
      <c r="AH88" s="259"/>
      <c r="AI88" s="259"/>
      <c r="AJ88" s="259"/>
    </row>
    <row r="89" spans="2:36" s="29" customFormat="1" ht="16">
      <c r="B89" s="286" t="s">
        <v>82</v>
      </c>
      <c r="C89" s="286"/>
      <c r="D89" s="286"/>
      <c r="E89" s="287"/>
      <c r="F89" s="288"/>
      <c r="G89" s="289"/>
      <c r="H89" s="289"/>
      <c r="I89" s="289"/>
      <c r="J89" s="289"/>
      <c r="K89" s="289"/>
      <c r="L89" s="289"/>
      <c r="M89" s="289"/>
      <c r="N89" s="289"/>
      <c r="O89" s="289"/>
      <c r="P89" s="289"/>
      <c r="Q89" s="289"/>
      <c r="R89" s="289"/>
      <c r="S89" s="289"/>
      <c r="T89" s="289"/>
      <c r="U89" s="289"/>
      <c r="V89" s="289"/>
      <c r="W89" s="289"/>
      <c r="X89" s="289"/>
      <c r="Y89" s="289"/>
      <c r="Z89" s="289"/>
      <c r="AA89" s="289"/>
      <c r="AB89" s="289"/>
      <c r="AC89" s="289"/>
      <c r="AD89" s="289"/>
      <c r="AE89" s="289"/>
      <c r="AF89" s="289"/>
      <c r="AG89" s="289"/>
      <c r="AH89" s="289"/>
      <c r="AI89" s="289"/>
      <c r="AJ89" s="289"/>
    </row>
    <row r="90" spans="2:36" s="29" customFormat="1" ht="16">
      <c r="B90" s="287" t="s">
        <v>83</v>
      </c>
      <c r="C90" s="287"/>
      <c r="D90" s="287"/>
      <c r="E90" s="287"/>
      <c r="F90" s="288">
        <f>IF(Inputs!$G$22="Simple",Inputs!$G$30-Inputs!$G$75,IF(Inputs!$G$22="Intermediate",SUM(Inputs!G24:G27)-Inputs!G75,'Complex Inputs'!C26+'Complex Inputs'!C51+'Complex Inputs'!C76+'Complex Inputs'!C101))</f>
        <v>17337500</v>
      </c>
      <c r="G90" s="289"/>
      <c r="H90" s="289"/>
      <c r="I90" s="289"/>
      <c r="J90" s="289"/>
      <c r="K90" s="289"/>
      <c r="L90" s="289"/>
      <c r="M90" s="289"/>
      <c r="N90" s="289"/>
      <c r="O90" s="289"/>
      <c r="P90" s="289"/>
      <c r="Q90" s="289"/>
      <c r="R90" s="289"/>
      <c r="S90" s="289"/>
      <c r="T90" s="289"/>
      <c r="U90" s="289"/>
      <c r="V90" s="289"/>
      <c r="W90" s="289"/>
      <c r="X90" s="289"/>
      <c r="Y90" s="289"/>
      <c r="Z90" s="289"/>
      <c r="AA90" s="289"/>
      <c r="AB90" s="289"/>
      <c r="AC90" s="289"/>
      <c r="AD90" s="289"/>
      <c r="AE90" s="289"/>
      <c r="AF90" s="289"/>
      <c r="AG90" s="289"/>
      <c r="AH90" s="289"/>
      <c r="AI90" s="289"/>
      <c r="AJ90" s="289"/>
    </row>
    <row r="91" spans="2:36" s="29" customFormat="1" ht="16">
      <c r="B91" s="287" t="s">
        <v>84</v>
      </c>
      <c r="C91" s="287"/>
      <c r="D91" s="287"/>
      <c r="E91" s="287"/>
      <c r="F91" s="290">
        <f>Inputs!$G$57</f>
        <v>0.4</v>
      </c>
      <c r="G91" s="289"/>
      <c r="H91" s="289"/>
      <c r="I91" s="289"/>
      <c r="J91" s="289"/>
      <c r="K91" s="289"/>
      <c r="L91" s="289"/>
      <c r="M91" s="289"/>
      <c r="N91" s="289"/>
      <c r="O91" s="289"/>
      <c r="P91" s="289"/>
      <c r="Q91" s="289"/>
      <c r="R91" s="289"/>
      <c r="S91" s="289"/>
      <c r="T91" s="289"/>
      <c r="U91" s="289"/>
      <c r="V91" s="289"/>
      <c r="W91" s="289"/>
      <c r="X91" s="289"/>
      <c r="Y91" s="289"/>
      <c r="Z91" s="289"/>
      <c r="AA91" s="289"/>
      <c r="AB91" s="289"/>
      <c r="AC91" s="289"/>
      <c r="AD91" s="289"/>
      <c r="AE91" s="289"/>
      <c r="AF91" s="289"/>
      <c r="AG91" s="289"/>
      <c r="AH91" s="289"/>
      <c r="AI91" s="289"/>
      <c r="AJ91" s="289"/>
    </row>
    <row r="92" spans="2:36" s="29" customFormat="1" ht="16">
      <c r="B92" s="287" t="s">
        <v>81</v>
      </c>
      <c r="C92" s="287"/>
      <c r="D92" s="287"/>
      <c r="E92" s="287"/>
      <c r="F92" s="291">
        <f>F90*F91</f>
        <v>6935000</v>
      </c>
      <c r="G92" s="289"/>
      <c r="H92" s="289"/>
      <c r="I92" s="289"/>
      <c r="J92" s="289"/>
      <c r="K92" s="289"/>
      <c r="L92" s="289"/>
      <c r="M92" s="289"/>
      <c r="N92" s="289"/>
      <c r="O92" s="289"/>
      <c r="P92" s="289"/>
      <c r="Q92" s="289"/>
      <c r="R92" s="289"/>
      <c r="S92" s="289"/>
      <c r="T92" s="289"/>
      <c r="U92" s="289"/>
      <c r="V92" s="289"/>
      <c r="W92" s="289"/>
      <c r="X92" s="289"/>
      <c r="Y92" s="289"/>
      <c r="Z92" s="289"/>
      <c r="AA92" s="289"/>
      <c r="AB92" s="289"/>
      <c r="AC92" s="289"/>
      <c r="AD92" s="289"/>
      <c r="AE92" s="289"/>
      <c r="AF92" s="289"/>
      <c r="AG92" s="289"/>
      <c r="AH92" s="289"/>
      <c r="AI92" s="289"/>
      <c r="AJ92" s="289"/>
    </row>
    <row r="93" spans="2:36" s="29" customFormat="1" ht="16">
      <c r="B93" s="292"/>
      <c r="C93" s="292"/>
      <c r="D93" s="292"/>
      <c r="E93" s="292"/>
      <c r="F93" s="293"/>
      <c r="G93" s="289"/>
      <c r="H93" s="289"/>
      <c r="I93" s="289"/>
      <c r="J93" s="289"/>
      <c r="K93" s="289"/>
      <c r="L93" s="289"/>
      <c r="M93" s="289"/>
      <c r="N93" s="289"/>
      <c r="O93" s="289"/>
      <c r="P93" s="289"/>
      <c r="Q93" s="289"/>
      <c r="R93" s="289"/>
      <c r="S93" s="289"/>
      <c r="T93" s="289"/>
      <c r="U93" s="289"/>
      <c r="V93" s="289"/>
      <c r="W93" s="289"/>
      <c r="X93" s="289"/>
      <c r="Y93" s="289"/>
      <c r="Z93" s="289"/>
      <c r="AA93" s="289"/>
      <c r="AB93" s="289"/>
      <c r="AC93" s="289"/>
      <c r="AD93" s="289"/>
      <c r="AE93" s="289"/>
      <c r="AF93" s="289"/>
      <c r="AG93" s="289"/>
      <c r="AH93" s="289"/>
      <c r="AI93" s="289"/>
      <c r="AJ93" s="289"/>
    </row>
    <row r="94" spans="2:36" s="29" customFormat="1" ht="16">
      <c r="B94" s="286" t="s">
        <v>118</v>
      </c>
      <c r="C94" s="286"/>
      <c r="D94" s="286"/>
      <c r="E94" s="286"/>
      <c r="F94" s="293"/>
      <c r="G94" s="289"/>
      <c r="H94" s="289"/>
      <c r="I94" s="289"/>
      <c r="J94" s="289"/>
      <c r="K94" s="289"/>
      <c r="L94" s="289"/>
      <c r="M94" s="289"/>
      <c r="N94" s="289"/>
      <c r="O94" s="289"/>
      <c r="P94" s="289"/>
      <c r="Q94" s="289"/>
      <c r="R94" s="289"/>
      <c r="S94" s="289"/>
      <c r="T94" s="289"/>
      <c r="U94" s="289"/>
      <c r="V94" s="289"/>
      <c r="W94" s="289"/>
      <c r="X94" s="289"/>
      <c r="Y94" s="289"/>
      <c r="Z94" s="289"/>
      <c r="AA94" s="289"/>
      <c r="AB94" s="289"/>
      <c r="AC94" s="289"/>
      <c r="AD94" s="289"/>
      <c r="AE94" s="289"/>
      <c r="AF94" s="289"/>
      <c r="AG94" s="289"/>
      <c r="AH94" s="289"/>
      <c r="AI94" s="289"/>
      <c r="AJ94" s="289"/>
    </row>
    <row r="95" spans="2:36" s="29" customFormat="1" ht="16">
      <c r="B95" s="294" t="s">
        <v>90</v>
      </c>
      <c r="C95" s="294"/>
      <c r="D95" s="294"/>
      <c r="E95" s="294"/>
      <c r="F95" s="295">
        <v>0</v>
      </c>
      <c r="G95" s="296">
        <f>SUM(G96:G97)</f>
        <v>-829778.63182494417</v>
      </c>
      <c r="H95" s="296">
        <f t="shared" ref="H95:AJ95" si="23">SUM(H96:H97)</f>
        <v>-829778.63182494428</v>
      </c>
      <c r="I95" s="296">
        <f t="shared" si="23"/>
        <v>-829778.63182494417</v>
      </c>
      <c r="J95" s="296">
        <f t="shared" si="23"/>
        <v>-829778.63182494417</v>
      </c>
      <c r="K95" s="296">
        <f t="shared" si="23"/>
        <v>-829778.63182494417</v>
      </c>
      <c r="L95" s="296">
        <f t="shared" si="23"/>
        <v>-829778.6318249444</v>
      </c>
      <c r="M95" s="296">
        <f t="shared" si="23"/>
        <v>-829778.63182494428</v>
      </c>
      <c r="N95" s="296">
        <f t="shared" si="23"/>
        <v>-829778.6318249444</v>
      </c>
      <c r="O95" s="296">
        <f t="shared" si="23"/>
        <v>-829778.63182494417</v>
      </c>
      <c r="P95" s="296">
        <f t="shared" si="23"/>
        <v>-829778.63182494428</v>
      </c>
      <c r="Q95" s="296">
        <f t="shared" si="23"/>
        <v>-829778.63182494428</v>
      </c>
      <c r="R95" s="296">
        <f t="shared" si="23"/>
        <v>-829778.63182494428</v>
      </c>
      <c r="S95" s="296">
        <f t="shared" si="23"/>
        <v>-829778.63182494417</v>
      </c>
      <c r="T95" s="296">
        <f t="shared" si="23"/>
        <v>0</v>
      </c>
      <c r="U95" s="296">
        <f t="shared" si="23"/>
        <v>0</v>
      </c>
      <c r="V95" s="296">
        <f t="shared" si="23"/>
        <v>0</v>
      </c>
      <c r="W95" s="296">
        <f t="shared" si="23"/>
        <v>0</v>
      </c>
      <c r="X95" s="296">
        <f t="shared" si="23"/>
        <v>0</v>
      </c>
      <c r="Y95" s="296">
        <f t="shared" si="23"/>
        <v>0</v>
      </c>
      <c r="Z95" s="296">
        <f t="shared" si="23"/>
        <v>0</v>
      </c>
      <c r="AA95" s="296">
        <f t="shared" si="23"/>
        <v>0</v>
      </c>
      <c r="AB95" s="296">
        <f t="shared" si="23"/>
        <v>0</v>
      </c>
      <c r="AC95" s="296">
        <f t="shared" si="23"/>
        <v>0</v>
      </c>
      <c r="AD95" s="296">
        <f t="shared" si="23"/>
        <v>0</v>
      </c>
      <c r="AE95" s="296">
        <f t="shared" si="23"/>
        <v>0</v>
      </c>
      <c r="AF95" s="296">
        <f t="shared" si="23"/>
        <v>0</v>
      </c>
      <c r="AG95" s="296">
        <f t="shared" si="23"/>
        <v>0</v>
      </c>
      <c r="AH95" s="296">
        <f t="shared" si="23"/>
        <v>0</v>
      </c>
      <c r="AI95" s="296">
        <f t="shared" si="23"/>
        <v>0</v>
      </c>
      <c r="AJ95" s="296">
        <f t="shared" si="23"/>
        <v>0</v>
      </c>
    </row>
    <row r="96" spans="2:36" s="38" customFormat="1" ht="16">
      <c r="B96" s="297" t="s">
        <v>88</v>
      </c>
      <c r="C96" s="297"/>
      <c r="D96" s="297"/>
      <c r="E96" s="297"/>
      <c r="F96" s="295">
        <v>0</v>
      </c>
      <c r="G96" s="296">
        <f>IF(G$2&gt;Inputs!$G$58,0,IPMT(Inputs!$G$59,G$2,Inputs!$G$58,$F$92))</f>
        <v>-485450.00000000006</v>
      </c>
      <c r="H96" s="296">
        <f>IF(H$2&gt;Inputs!$G$58,0,IPMT(Inputs!$G$59,H$2,Inputs!$G$58,$F$92))</f>
        <v>-461346.99577225407</v>
      </c>
      <c r="I96" s="296">
        <f>IF(I$2&gt;Inputs!$G$58,0,IPMT(Inputs!$G$59,I$2,Inputs!$G$58,$F$92))</f>
        <v>-435556.78124856565</v>
      </c>
      <c r="J96" s="296">
        <f>IF(J$2&gt;Inputs!$G$58,0,IPMT(Inputs!$G$59,J$2,Inputs!$G$58,$F$92))</f>
        <v>-407961.25170821918</v>
      </c>
      <c r="K96" s="296">
        <f>IF(K$2&gt;Inputs!$G$58,0,IPMT(Inputs!$G$59,K$2,Inputs!$G$58,$F$92))</f>
        <v>-378434.03510004841</v>
      </c>
      <c r="L96" s="296">
        <f>IF(L$2&gt;Inputs!$G$58,0,IPMT(Inputs!$G$59,L$2,Inputs!$G$58,$F$92))</f>
        <v>-346839.91332930577</v>
      </c>
      <c r="M96" s="296">
        <f>IF(M$2&gt;Inputs!$G$58,0,IPMT(Inputs!$G$59,M$2,Inputs!$G$58,$F$92))</f>
        <v>-313034.20303461101</v>
      </c>
      <c r="N96" s="296">
        <f>IF(N$2&gt;Inputs!$G$58,0,IPMT(Inputs!$G$59,N$2,Inputs!$G$58,$F$92))</f>
        <v>-276862.09301928774</v>
      </c>
      <c r="O96" s="296">
        <f>IF(O$2&gt;Inputs!$G$58,0,IPMT(Inputs!$G$59,O$2,Inputs!$G$58,$F$92))</f>
        <v>-238157.93530289171</v>
      </c>
      <c r="P96" s="296">
        <f>IF(P$2&gt;Inputs!$G$58,0,IPMT(Inputs!$G$59,P$2,Inputs!$G$58,$F$92))</f>
        <v>-196744.48654634805</v>
      </c>
      <c r="Q96" s="296">
        <f>IF(Q$2&gt;Inputs!$G$58,0,IPMT(Inputs!$G$59,Q$2,Inputs!$G$58,$F$92))</f>
        <v>-152432.09637684631</v>
      </c>
      <c r="R96" s="296">
        <f>IF(R$2&gt;Inputs!$G$58,0,IPMT(Inputs!$G$59,R$2,Inputs!$G$58,$F$92))</f>
        <v>-105017.83889547945</v>
      </c>
      <c r="S96" s="296">
        <f>IF(S$2&gt;Inputs!$G$58,0,IPMT(Inputs!$G$59,S$2,Inputs!$G$58,$F$92))</f>
        <v>-54284.583390416919</v>
      </c>
      <c r="T96" s="296">
        <f>IF(T$2&gt;Inputs!$G$58,0,IPMT(Inputs!$G$59,T$2,Inputs!$G$58,$F$92))</f>
        <v>0</v>
      </c>
      <c r="U96" s="296">
        <f>IF(U$2&gt;Inputs!$G$58,0,IPMT(Inputs!$G$59,U$2,Inputs!$G$58,$F$92))</f>
        <v>0</v>
      </c>
      <c r="V96" s="296">
        <f>IF(V$2&gt;Inputs!$G$58,0,IPMT(Inputs!$G$59,V$2,Inputs!$G$58,$F$92))</f>
        <v>0</v>
      </c>
      <c r="W96" s="296">
        <f>IF(W$2&gt;Inputs!$G$58,0,IPMT(Inputs!$G$59,W$2,Inputs!$G$58,$F$92))</f>
        <v>0</v>
      </c>
      <c r="X96" s="296">
        <f>IF(X$2&gt;Inputs!$G$58,0,IPMT(Inputs!$G$59,X$2,Inputs!$G$58,$F$92))</f>
        <v>0</v>
      </c>
      <c r="Y96" s="296">
        <f>IF(Y$2&gt;Inputs!$G$58,0,IPMT(Inputs!$G$59,Y$2,Inputs!$G$58,$F$92))</f>
        <v>0</v>
      </c>
      <c r="Z96" s="296">
        <f>IF(Z$2&gt;Inputs!$G$58,0,IPMT(Inputs!$G$59,Z$2,Inputs!$G$58,$F$92))</f>
        <v>0</v>
      </c>
      <c r="AA96" s="296">
        <f>IF(AA$2&gt;Inputs!$G$58,0,IPMT(Inputs!$G$59,AA$2,Inputs!$G$58,$F$92))</f>
        <v>0</v>
      </c>
      <c r="AB96" s="296">
        <f>IF(AB$2&gt;Inputs!$G$58,0,IPMT(Inputs!$G$59,AB$2,Inputs!$G$58,$F$92))</f>
        <v>0</v>
      </c>
      <c r="AC96" s="296">
        <f>IF(AC$2&gt;Inputs!$G$58,0,IPMT(Inputs!$G$59,AC$2,Inputs!$G$58,$F$92))</f>
        <v>0</v>
      </c>
      <c r="AD96" s="296">
        <f>IF(AD$2&gt;Inputs!$G$58,0,IPMT(Inputs!$G$59,AD$2,Inputs!$G$58,$F$92))</f>
        <v>0</v>
      </c>
      <c r="AE96" s="296">
        <f>IF(AE$2&gt;Inputs!$G$58,0,IPMT(Inputs!$G$59,AE$2,Inputs!$G$58,$F$92))</f>
        <v>0</v>
      </c>
      <c r="AF96" s="296">
        <f>IF(AF$2&gt;Inputs!$G$58,0,IPMT(Inputs!$G$59,AF$2,Inputs!$G$58,$F$92))</f>
        <v>0</v>
      </c>
      <c r="AG96" s="296">
        <f>IF(AG$2&gt;Inputs!$G$58,0,IPMT(Inputs!$G$59,AG$2,Inputs!$G$58,$F$92))</f>
        <v>0</v>
      </c>
      <c r="AH96" s="296">
        <f>IF(AH$2&gt;Inputs!$G$58,0,IPMT(Inputs!$G$59,AH$2,Inputs!$G$58,$F$92))</f>
        <v>0</v>
      </c>
      <c r="AI96" s="296">
        <f>IF(AI$2&gt;Inputs!$G$58,0,IPMT(Inputs!$G$59,AI$2,Inputs!$G$58,$F$92))</f>
        <v>0</v>
      </c>
      <c r="AJ96" s="296">
        <f>IF(AJ$2&gt;Inputs!$G$58,0,IPMT(Inputs!$G$59,AJ$2,Inputs!$G$58,$F$92))</f>
        <v>0</v>
      </c>
    </row>
    <row r="97" spans="2:36" s="29" customFormat="1" ht="16">
      <c r="B97" s="294" t="s">
        <v>89</v>
      </c>
      <c r="C97" s="294"/>
      <c r="D97" s="294"/>
      <c r="E97" s="294"/>
      <c r="F97" s="298">
        <f>MIN(MAX(0,F95-F96),F$100)</f>
        <v>0</v>
      </c>
      <c r="G97" s="296">
        <f>IF(G$2&gt;Inputs!$G$58,0,PPMT(Inputs!$G$59,G$2,Inputs!$G$58,$F$92))</f>
        <v>-344328.63182494411</v>
      </c>
      <c r="H97" s="296">
        <f>IF(H$2&gt;Inputs!$G$58,0,PPMT(Inputs!$G$59,H$2,Inputs!$G$58,$F$92))</f>
        <v>-368431.63605269021</v>
      </c>
      <c r="I97" s="296">
        <f>IF(I$2&gt;Inputs!$G$58,0,PPMT(Inputs!$G$59,I$2,Inputs!$G$58,$F$92))</f>
        <v>-394221.85057637852</v>
      </c>
      <c r="J97" s="296">
        <f>IF(J$2&gt;Inputs!$G$58,0,PPMT(Inputs!$G$59,J$2,Inputs!$G$58,$F$92))</f>
        <v>-421817.38011672505</v>
      </c>
      <c r="K97" s="296">
        <f>IF(K$2&gt;Inputs!$G$58,0,PPMT(Inputs!$G$59,K$2,Inputs!$G$58,$F$92))</f>
        <v>-451344.59672489582</v>
      </c>
      <c r="L97" s="296">
        <f>IF(L$2&gt;Inputs!$G$58,0,PPMT(Inputs!$G$59,L$2,Inputs!$G$58,$F$92))</f>
        <v>-482938.71849563858</v>
      </c>
      <c r="M97" s="296">
        <f>IF(M$2&gt;Inputs!$G$58,0,PPMT(Inputs!$G$59,M$2,Inputs!$G$58,$F$92))</f>
        <v>-516744.42879033327</v>
      </c>
      <c r="N97" s="296">
        <f>IF(N$2&gt;Inputs!$G$58,0,PPMT(Inputs!$G$59,N$2,Inputs!$G$58,$F$92))</f>
        <v>-552916.5388056566</v>
      </c>
      <c r="O97" s="296">
        <f>IF(O$2&gt;Inputs!$G$58,0,PPMT(Inputs!$G$59,O$2,Inputs!$G$58,$F$92))</f>
        <v>-591620.6965220524</v>
      </c>
      <c r="P97" s="296">
        <f>IF(P$2&gt;Inputs!$G$58,0,PPMT(Inputs!$G$59,P$2,Inputs!$G$58,$F$92))</f>
        <v>-633034.1452785962</v>
      </c>
      <c r="Q97" s="296">
        <f>IF(Q$2&gt;Inputs!$G$58,0,PPMT(Inputs!$G$59,Q$2,Inputs!$G$58,$F$92))</f>
        <v>-677346.53544809797</v>
      </c>
      <c r="R97" s="296">
        <f>IF(R$2&gt;Inputs!$G$58,0,PPMT(Inputs!$G$59,R$2,Inputs!$G$58,$F$92))</f>
        <v>-724760.79292946483</v>
      </c>
      <c r="S97" s="296">
        <f>IF(S$2&gt;Inputs!$G$58,0,PPMT(Inputs!$G$59,S$2,Inputs!$G$58,$F$92))</f>
        <v>-775494.04843452724</v>
      </c>
      <c r="T97" s="296">
        <f>IF(T$2&gt;Inputs!$G$58,0,PPMT(Inputs!$G$59,T$2,Inputs!$G$58,$F$92))</f>
        <v>0</v>
      </c>
      <c r="U97" s="296">
        <f>IF(U$2&gt;Inputs!$G$58,0,PPMT(Inputs!$G$59,U$2,Inputs!$G$58,$F$92))</f>
        <v>0</v>
      </c>
      <c r="V97" s="296">
        <f>IF(V$2&gt;Inputs!$G$58,0,PPMT(Inputs!$G$59,V$2,Inputs!$G$58,$F$92))</f>
        <v>0</v>
      </c>
      <c r="W97" s="296">
        <f>IF(W$2&gt;Inputs!$G$58,0,PPMT(Inputs!$G$59,W$2,Inputs!$G$58,$F$92))</f>
        <v>0</v>
      </c>
      <c r="X97" s="296">
        <f>IF(X$2&gt;Inputs!$G$58,0,PPMT(Inputs!$G$59,X$2,Inputs!$G$58,$F$92))</f>
        <v>0</v>
      </c>
      <c r="Y97" s="296">
        <f>IF(Y$2&gt;Inputs!$G$58,0,PPMT(Inputs!$G$59,Y$2,Inputs!$G$58,$F$92))</f>
        <v>0</v>
      </c>
      <c r="Z97" s="296">
        <f>IF(Z$2&gt;Inputs!$G$58,0,PPMT(Inputs!$G$59,Z$2,Inputs!$G$58,$F$92))</f>
        <v>0</v>
      </c>
      <c r="AA97" s="296">
        <f>IF(AA$2&gt;Inputs!$G$58,0,PPMT(Inputs!$G$59,AA$2,Inputs!$G$58,$F$92))</f>
        <v>0</v>
      </c>
      <c r="AB97" s="296">
        <f>IF(AB$2&gt;Inputs!$G$58,0,PPMT(Inputs!$G$59,AB$2,Inputs!$G$58,$F$92))</f>
        <v>0</v>
      </c>
      <c r="AC97" s="296">
        <f>IF(AC$2&gt;Inputs!$G$58,0,PPMT(Inputs!$G$59,AC$2,Inputs!$G$58,$F$92))</f>
        <v>0</v>
      </c>
      <c r="AD97" s="296">
        <f>IF(AD$2&gt;Inputs!$G$58,0,PPMT(Inputs!$G$59,AD$2,Inputs!$G$58,$F$92))</f>
        <v>0</v>
      </c>
      <c r="AE97" s="296">
        <f>IF(AE$2&gt;Inputs!$G$58,0,PPMT(Inputs!$G$59,AE$2,Inputs!$G$58,$F$92))</f>
        <v>0</v>
      </c>
      <c r="AF97" s="296">
        <f>IF(AF$2&gt;Inputs!$G$58,0,PPMT(Inputs!$G$59,AF$2,Inputs!$G$58,$F$92))</f>
        <v>0</v>
      </c>
      <c r="AG97" s="296">
        <f>IF(AG$2&gt;Inputs!$G$58,0,PPMT(Inputs!$G$59,AG$2,Inputs!$G$58,$F$92))</f>
        <v>0</v>
      </c>
      <c r="AH97" s="296">
        <f>IF(AH$2&gt;Inputs!$G$58,0,PPMT(Inputs!$G$59,AH$2,Inputs!$G$58,$F$92))</f>
        <v>0</v>
      </c>
      <c r="AI97" s="296">
        <f>IF(AI$2&gt;Inputs!$G$58,0,PPMT(Inputs!$G$59,AI$2,Inputs!$G$58,$F$92))</f>
        <v>0</v>
      </c>
      <c r="AJ97" s="296">
        <f>IF(AJ$2&gt;Inputs!$G$58,0,PPMT(Inputs!$G$59,AJ$2,Inputs!$G$58,$F$92))</f>
        <v>0</v>
      </c>
    </row>
    <row r="98" spans="2:36" s="29" customFormat="1" ht="16">
      <c r="B98" s="286"/>
      <c r="C98" s="286"/>
      <c r="D98" s="286"/>
      <c r="E98" s="286"/>
      <c r="F98" s="293"/>
      <c r="G98" s="289"/>
      <c r="H98" s="289"/>
      <c r="I98" s="289"/>
      <c r="J98" s="289"/>
      <c r="K98" s="289"/>
      <c r="L98" s="289"/>
      <c r="M98" s="289"/>
      <c r="N98" s="289"/>
      <c r="O98" s="289"/>
      <c r="P98" s="289"/>
      <c r="Q98" s="289"/>
      <c r="R98" s="289"/>
      <c r="S98" s="289"/>
      <c r="T98" s="289"/>
      <c r="U98" s="289"/>
      <c r="V98" s="289"/>
      <c r="W98" s="289"/>
      <c r="X98" s="289"/>
      <c r="Y98" s="289"/>
      <c r="Z98" s="289"/>
      <c r="AA98" s="289"/>
      <c r="AB98" s="289"/>
      <c r="AC98" s="289"/>
      <c r="AD98" s="289"/>
      <c r="AE98" s="289"/>
      <c r="AF98" s="289"/>
      <c r="AG98" s="289"/>
      <c r="AH98" s="289"/>
      <c r="AI98" s="289"/>
      <c r="AJ98" s="289"/>
    </row>
    <row r="99" spans="2:36" s="29" customFormat="1" ht="16">
      <c r="B99" s="286" t="s">
        <v>117</v>
      </c>
      <c r="C99" s="286"/>
      <c r="D99" s="286"/>
      <c r="E99" s="287"/>
      <c r="F99" s="299"/>
      <c r="G99" s="299"/>
      <c r="H99" s="299"/>
      <c r="I99" s="299"/>
      <c r="J99" s="299"/>
      <c r="K99" s="299"/>
      <c r="L99" s="299"/>
      <c r="M99" s="299"/>
      <c r="N99" s="299"/>
      <c r="O99" s="299"/>
      <c r="P99" s="299"/>
      <c r="Q99" s="299"/>
      <c r="R99" s="299"/>
      <c r="S99" s="299"/>
      <c r="T99" s="299"/>
      <c r="U99" s="299"/>
      <c r="V99" s="299"/>
      <c r="W99" s="299"/>
      <c r="X99" s="299"/>
      <c r="Y99" s="299"/>
      <c r="Z99" s="299"/>
      <c r="AA99" s="299"/>
      <c r="AB99" s="299"/>
      <c r="AC99" s="299"/>
      <c r="AD99" s="299"/>
      <c r="AE99" s="299"/>
      <c r="AF99" s="299"/>
      <c r="AG99" s="299"/>
      <c r="AH99" s="299"/>
      <c r="AI99" s="299"/>
      <c r="AJ99" s="299"/>
    </row>
    <row r="100" spans="2:36" s="29" customFormat="1" ht="16">
      <c r="B100" s="294" t="s">
        <v>85</v>
      </c>
      <c r="C100" s="294"/>
      <c r="D100" s="294"/>
      <c r="E100" s="294"/>
      <c r="F100" s="300">
        <v>0</v>
      </c>
      <c r="G100" s="298">
        <f t="shared" ref="G100:AJ100" si="24">F103</f>
        <v>6935000</v>
      </c>
      <c r="H100" s="298">
        <f t="shared" si="24"/>
        <v>6590671.3681750558</v>
      </c>
      <c r="I100" s="298">
        <f t="shared" si="24"/>
        <v>6222239.7321223654</v>
      </c>
      <c r="J100" s="298">
        <f t="shared" si="24"/>
        <v>5828017.881545987</v>
      </c>
      <c r="K100" s="298">
        <f t="shared" si="24"/>
        <v>5406200.5014292616</v>
      </c>
      <c r="L100" s="298">
        <f t="shared" si="24"/>
        <v>4954855.9047043659</v>
      </c>
      <c r="M100" s="298">
        <f t="shared" si="24"/>
        <v>4471917.1862087268</v>
      </c>
      <c r="N100" s="298">
        <f t="shared" si="24"/>
        <v>3955172.7574183936</v>
      </c>
      <c r="O100" s="298">
        <f t="shared" si="24"/>
        <v>3402256.218612737</v>
      </c>
      <c r="P100" s="298">
        <f t="shared" si="24"/>
        <v>2810635.5220906846</v>
      </c>
      <c r="Q100" s="298">
        <f t="shared" si="24"/>
        <v>2177601.3768120883</v>
      </c>
      <c r="R100" s="298">
        <f t="shared" si="24"/>
        <v>1500254.8413639902</v>
      </c>
      <c r="S100" s="298">
        <f t="shared" si="24"/>
        <v>775494.04843452538</v>
      </c>
      <c r="T100" s="298">
        <f t="shared" si="24"/>
        <v>-1.862645149230957E-9</v>
      </c>
      <c r="U100" s="298">
        <f t="shared" si="24"/>
        <v>-1.862645149230957E-9</v>
      </c>
      <c r="V100" s="298">
        <f t="shared" si="24"/>
        <v>-1.862645149230957E-9</v>
      </c>
      <c r="W100" s="298">
        <f t="shared" si="24"/>
        <v>-1.862645149230957E-9</v>
      </c>
      <c r="X100" s="298">
        <f t="shared" si="24"/>
        <v>-1.862645149230957E-9</v>
      </c>
      <c r="Y100" s="298">
        <f t="shared" si="24"/>
        <v>-1.862645149230957E-9</v>
      </c>
      <c r="Z100" s="298">
        <f t="shared" si="24"/>
        <v>-1.862645149230957E-9</v>
      </c>
      <c r="AA100" s="298">
        <f t="shared" si="24"/>
        <v>-1.862645149230957E-9</v>
      </c>
      <c r="AB100" s="298">
        <f t="shared" si="24"/>
        <v>-1.862645149230957E-9</v>
      </c>
      <c r="AC100" s="298">
        <f t="shared" si="24"/>
        <v>-1.862645149230957E-9</v>
      </c>
      <c r="AD100" s="298">
        <f t="shared" si="24"/>
        <v>-1.862645149230957E-9</v>
      </c>
      <c r="AE100" s="298">
        <f t="shared" si="24"/>
        <v>-1.862645149230957E-9</v>
      </c>
      <c r="AF100" s="298">
        <f t="shared" si="24"/>
        <v>-1.862645149230957E-9</v>
      </c>
      <c r="AG100" s="298">
        <f t="shared" si="24"/>
        <v>-1.862645149230957E-9</v>
      </c>
      <c r="AH100" s="298">
        <f t="shared" si="24"/>
        <v>-1.862645149230957E-9</v>
      </c>
      <c r="AI100" s="298">
        <f t="shared" si="24"/>
        <v>-1.862645149230957E-9</v>
      </c>
      <c r="AJ100" s="298">
        <f t="shared" si="24"/>
        <v>-1.862645149230957E-9</v>
      </c>
    </row>
    <row r="101" spans="2:36" s="29" customFormat="1" ht="16">
      <c r="B101" s="294" t="s">
        <v>86</v>
      </c>
      <c r="C101" s="294"/>
      <c r="D101" s="294"/>
      <c r="E101" s="294"/>
      <c r="F101" s="298">
        <f>$F$92</f>
        <v>6935000</v>
      </c>
      <c r="G101" s="300">
        <v>0</v>
      </c>
      <c r="H101" s="300">
        <v>0</v>
      </c>
      <c r="I101" s="300">
        <v>0</v>
      </c>
      <c r="J101" s="300">
        <v>0</v>
      </c>
      <c r="K101" s="300">
        <v>0</v>
      </c>
      <c r="L101" s="300">
        <v>0</v>
      </c>
      <c r="M101" s="300">
        <v>0</v>
      </c>
      <c r="N101" s="300">
        <v>0</v>
      </c>
      <c r="O101" s="300">
        <v>0</v>
      </c>
      <c r="P101" s="300">
        <v>0</v>
      </c>
      <c r="Q101" s="300">
        <v>0</v>
      </c>
      <c r="R101" s="300">
        <v>0</v>
      </c>
      <c r="S101" s="300">
        <v>0</v>
      </c>
      <c r="T101" s="300">
        <v>0</v>
      </c>
      <c r="U101" s="300">
        <v>0</v>
      </c>
      <c r="V101" s="300">
        <v>0</v>
      </c>
      <c r="W101" s="300">
        <v>0</v>
      </c>
      <c r="X101" s="300">
        <v>0</v>
      </c>
      <c r="Y101" s="300">
        <v>0</v>
      </c>
      <c r="Z101" s="300">
        <v>0</v>
      </c>
      <c r="AA101" s="300">
        <v>0</v>
      </c>
      <c r="AB101" s="300">
        <v>0</v>
      </c>
      <c r="AC101" s="300">
        <v>0</v>
      </c>
      <c r="AD101" s="300">
        <v>0</v>
      </c>
      <c r="AE101" s="300">
        <v>0</v>
      </c>
      <c r="AF101" s="300">
        <v>0</v>
      </c>
      <c r="AG101" s="300">
        <v>0</v>
      </c>
      <c r="AH101" s="300">
        <v>0</v>
      </c>
      <c r="AI101" s="300">
        <v>0</v>
      </c>
      <c r="AJ101" s="300">
        <v>0</v>
      </c>
    </row>
    <row r="102" spans="2:36" s="29" customFormat="1" ht="16">
      <c r="B102" s="294" t="s">
        <v>116</v>
      </c>
      <c r="C102" s="294"/>
      <c r="D102" s="294"/>
      <c r="E102" s="294"/>
      <c r="F102" s="301">
        <v>0</v>
      </c>
      <c r="G102" s="302">
        <f t="shared" ref="G102:AJ102" si="25">G97</f>
        <v>-344328.63182494411</v>
      </c>
      <c r="H102" s="302">
        <f t="shared" si="25"/>
        <v>-368431.63605269021</v>
      </c>
      <c r="I102" s="302">
        <f t="shared" si="25"/>
        <v>-394221.85057637852</v>
      </c>
      <c r="J102" s="302">
        <f t="shared" si="25"/>
        <v>-421817.38011672505</v>
      </c>
      <c r="K102" s="302">
        <f t="shared" si="25"/>
        <v>-451344.59672489582</v>
      </c>
      <c r="L102" s="302">
        <f t="shared" si="25"/>
        <v>-482938.71849563858</v>
      </c>
      <c r="M102" s="302">
        <f t="shared" si="25"/>
        <v>-516744.42879033327</v>
      </c>
      <c r="N102" s="302">
        <f t="shared" si="25"/>
        <v>-552916.5388056566</v>
      </c>
      <c r="O102" s="302">
        <f t="shared" si="25"/>
        <v>-591620.6965220524</v>
      </c>
      <c r="P102" s="302">
        <f t="shared" si="25"/>
        <v>-633034.1452785962</v>
      </c>
      <c r="Q102" s="302">
        <f t="shared" si="25"/>
        <v>-677346.53544809797</v>
      </c>
      <c r="R102" s="302">
        <f t="shared" si="25"/>
        <v>-724760.79292946483</v>
      </c>
      <c r="S102" s="302">
        <f t="shared" si="25"/>
        <v>-775494.04843452724</v>
      </c>
      <c r="T102" s="302">
        <f t="shared" si="25"/>
        <v>0</v>
      </c>
      <c r="U102" s="302">
        <f t="shared" si="25"/>
        <v>0</v>
      </c>
      <c r="V102" s="302">
        <f t="shared" si="25"/>
        <v>0</v>
      </c>
      <c r="W102" s="302">
        <f t="shared" si="25"/>
        <v>0</v>
      </c>
      <c r="X102" s="302">
        <f t="shared" si="25"/>
        <v>0</v>
      </c>
      <c r="Y102" s="302">
        <f t="shared" si="25"/>
        <v>0</v>
      </c>
      <c r="Z102" s="302">
        <f t="shared" si="25"/>
        <v>0</v>
      </c>
      <c r="AA102" s="302">
        <f t="shared" si="25"/>
        <v>0</v>
      </c>
      <c r="AB102" s="302">
        <f t="shared" si="25"/>
        <v>0</v>
      </c>
      <c r="AC102" s="302">
        <f t="shared" si="25"/>
        <v>0</v>
      </c>
      <c r="AD102" s="302">
        <f t="shared" si="25"/>
        <v>0</v>
      </c>
      <c r="AE102" s="302">
        <f t="shared" si="25"/>
        <v>0</v>
      </c>
      <c r="AF102" s="302">
        <f t="shared" si="25"/>
        <v>0</v>
      </c>
      <c r="AG102" s="302">
        <f t="shared" si="25"/>
        <v>0</v>
      </c>
      <c r="AH102" s="302">
        <f t="shared" si="25"/>
        <v>0</v>
      </c>
      <c r="AI102" s="302">
        <f t="shared" si="25"/>
        <v>0</v>
      </c>
      <c r="AJ102" s="302">
        <f t="shared" si="25"/>
        <v>0</v>
      </c>
    </row>
    <row r="103" spans="2:36" s="29" customFormat="1" ht="16">
      <c r="B103" s="294" t="s">
        <v>87</v>
      </c>
      <c r="C103" s="294"/>
      <c r="D103" s="294"/>
      <c r="E103" s="294"/>
      <c r="F103" s="298">
        <f t="shared" ref="F103:AJ103" si="26">SUM(F100:F102)</f>
        <v>6935000</v>
      </c>
      <c r="G103" s="298">
        <f t="shared" si="26"/>
        <v>6590671.3681750558</v>
      </c>
      <c r="H103" s="298">
        <f t="shared" si="26"/>
        <v>6222239.7321223654</v>
      </c>
      <c r="I103" s="298">
        <f t="shared" si="26"/>
        <v>5828017.881545987</v>
      </c>
      <c r="J103" s="298">
        <f t="shared" si="26"/>
        <v>5406200.5014292616</v>
      </c>
      <c r="K103" s="298">
        <f t="shared" si="26"/>
        <v>4954855.9047043659</v>
      </c>
      <c r="L103" s="298">
        <f t="shared" si="26"/>
        <v>4471917.1862087268</v>
      </c>
      <c r="M103" s="298">
        <f t="shared" si="26"/>
        <v>3955172.7574183936</v>
      </c>
      <c r="N103" s="298">
        <f t="shared" si="26"/>
        <v>3402256.218612737</v>
      </c>
      <c r="O103" s="298">
        <f t="shared" si="26"/>
        <v>2810635.5220906846</v>
      </c>
      <c r="P103" s="298">
        <f t="shared" si="26"/>
        <v>2177601.3768120883</v>
      </c>
      <c r="Q103" s="298">
        <f t="shared" si="26"/>
        <v>1500254.8413639902</v>
      </c>
      <c r="R103" s="298">
        <f t="shared" si="26"/>
        <v>775494.04843452538</v>
      </c>
      <c r="S103" s="298">
        <f t="shared" si="26"/>
        <v>-1.862645149230957E-9</v>
      </c>
      <c r="T103" s="298">
        <f t="shared" si="26"/>
        <v>-1.862645149230957E-9</v>
      </c>
      <c r="U103" s="298">
        <f t="shared" si="26"/>
        <v>-1.862645149230957E-9</v>
      </c>
      <c r="V103" s="298">
        <f t="shared" si="26"/>
        <v>-1.862645149230957E-9</v>
      </c>
      <c r="W103" s="298">
        <f t="shared" si="26"/>
        <v>-1.862645149230957E-9</v>
      </c>
      <c r="X103" s="298">
        <f t="shared" si="26"/>
        <v>-1.862645149230957E-9</v>
      </c>
      <c r="Y103" s="298">
        <f t="shared" si="26"/>
        <v>-1.862645149230957E-9</v>
      </c>
      <c r="Z103" s="298">
        <f t="shared" si="26"/>
        <v>-1.862645149230957E-9</v>
      </c>
      <c r="AA103" s="298">
        <f t="shared" si="26"/>
        <v>-1.862645149230957E-9</v>
      </c>
      <c r="AB103" s="298">
        <f t="shared" si="26"/>
        <v>-1.862645149230957E-9</v>
      </c>
      <c r="AC103" s="298">
        <f t="shared" si="26"/>
        <v>-1.862645149230957E-9</v>
      </c>
      <c r="AD103" s="298">
        <f t="shared" si="26"/>
        <v>-1.862645149230957E-9</v>
      </c>
      <c r="AE103" s="298">
        <f t="shared" si="26"/>
        <v>-1.862645149230957E-9</v>
      </c>
      <c r="AF103" s="298">
        <f t="shared" si="26"/>
        <v>-1.862645149230957E-9</v>
      </c>
      <c r="AG103" s="298">
        <f t="shared" si="26"/>
        <v>-1.862645149230957E-9</v>
      </c>
      <c r="AH103" s="298">
        <f t="shared" si="26"/>
        <v>-1.862645149230957E-9</v>
      </c>
      <c r="AI103" s="298">
        <f t="shared" si="26"/>
        <v>-1.862645149230957E-9</v>
      </c>
      <c r="AJ103" s="298">
        <f t="shared" si="26"/>
        <v>-1.862645149230957E-9</v>
      </c>
    </row>
    <row r="104" spans="2:36" s="29" customFormat="1" ht="17" thickBot="1">
      <c r="B104" s="281"/>
      <c r="C104" s="281"/>
      <c r="D104" s="281"/>
      <c r="E104" s="281"/>
      <c r="F104" s="281"/>
      <c r="G104" s="281"/>
      <c r="H104" s="281"/>
      <c r="I104" s="281"/>
      <c r="J104" s="281"/>
      <c r="K104" s="281"/>
      <c r="L104" s="281"/>
      <c r="M104" s="281"/>
      <c r="N104" s="281"/>
      <c r="O104" s="281"/>
      <c r="P104" s="281"/>
      <c r="Q104" s="281"/>
      <c r="R104" s="281"/>
      <c r="S104" s="281"/>
      <c r="T104" s="281"/>
      <c r="U104" s="281"/>
      <c r="V104" s="281"/>
      <c r="W104" s="281"/>
      <c r="X104" s="281"/>
      <c r="Y104" s="281"/>
      <c r="Z104" s="281"/>
      <c r="AA104" s="281"/>
      <c r="AB104" s="281"/>
      <c r="AC104" s="281"/>
      <c r="AD104" s="281"/>
      <c r="AE104" s="281"/>
      <c r="AF104" s="281"/>
      <c r="AG104" s="281"/>
      <c r="AH104" s="281"/>
      <c r="AI104" s="281"/>
      <c r="AJ104" s="281"/>
    </row>
    <row r="105" spans="2:36">
      <c r="B105" s="303"/>
      <c r="C105" s="303"/>
      <c r="D105" s="303"/>
      <c r="E105" s="303"/>
      <c r="F105" s="303"/>
      <c r="G105" s="303"/>
      <c r="H105" s="303"/>
      <c r="I105" s="303"/>
      <c r="J105" s="303"/>
      <c r="K105" s="303"/>
      <c r="L105" s="303"/>
      <c r="M105" s="303"/>
      <c r="N105" s="303"/>
      <c r="O105" s="303"/>
      <c r="P105" s="303"/>
      <c r="Q105" s="303"/>
      <c r="R105" s="303"/>
      <c r="S105" s="303"/>
      <c r="T105" s="303"/>
      <c r="U105" s="303"/>
      <c r="V105" s="303"/>
      <c r="W105" s="303"/>
      <c r="X105" s="303"/>
      <c r="Y105" s="303"/>
      <c r="Z105" s="303"/>
      <c r="AA105" s="303"/>
      <c r="AB105" s="303"/>
      <c r="AC105" s="303"/>
      <c r="AD105" s="303"/>
      <c r="AE105" s="303"/>
      <c r="AF105" s="303"/>
      <c r="AG105" s="303"/>
      <c r="AH105" s="303"/>
      <c r="AI105" s="303"/>
      <c r="AJ105" s="303"/>
    </row>
    <row r="106" spans="2:36" s="29" customFormat="1" ht="16">
      <c r="B106" s="258" t="s">
        <v>147</v>
      </c>
      <c r="C106" s="815" t="s">
        <v>330</v>
      </c>
      <c r="D106" s="815"/>
      <c r="E106" s="815"/>
      <c r="F106" s="259"/>
      <c r="G106" s="259"/>
      <c r="H106" s="259"/>
      <c r="I106" s="259"/>
      <c r="J106" s="259"/>
      <c r="K106" s="259"/>
      <c r="L106" s="259"/>
      <c r="M106" s="259"/>
      <c r="N106" s="259"/>
      <c r="O106" s="259"/>
      <c r="P106" s="259"/>
      <c r="Q106" s="259"/>
      <c r="R106" s="259"/>
      <c r="S106" s="259"/>
      <c r="T106" s="259"/>
      <c r="U106" s="259"/>
      <c r="V106" s="259"/>
      <c r="W106" s="259"/>
      <c r="X106" s="259"/>
      <c r="Y106" s="259"/>
      <c r="Z106" s="259"/>
      <c r="AA106" s="259"/>
      <c r="AB106" s="259"/>
      <c r="AC106" s="259"/>
      <c r="AD106" s="259"/>
      <c r="AE106" s="259"/>
      <c r="AF106" s="259"/>
      <c r="AG106" s="259"/>
      <c r="AH106" s="259"/>
      <c r="AI106" s="259"/>
      <c r="AJ106" s="259"/>
    </row>
    <row r="107" spans="2:36" s="29" customFormat="1" ht="16">
      <c r="B107" s="259" t="s">
        <v>122</v>
      </c>
      <c r="C107" s="260" t="s">
        <v>331</v>
      </c>
      <c r="D107" s="260" t="s">
        <v>332</v>
      </c>
      <c r="E107" s="260" t="s">
        <v>333</v>
      </c>
      <c r="F107" s="260">
        <v>0</v>
      </c>
      <c r="G107" s="260">
        <v>1</v>
      </c>
      <c r="H107" s="260">
        <v>2</v>
      </c>
      <c r="I107" s="260">
        <v>3</v>
      </c>
      <c r="J107" s="260">
        <v>4</v>
      </c>
      <c r="K107" s="260">
        <v>5</v>
      </c>
      <c r="L107" s="260">
        <v>6</v>
      </c>
      <c r="M107" s="260">
        <v>7</v>
      </c>
      <c r="N107" s="260">
        <v>8</v>
      </c>
      <c r="O107" s="260">
        <v>9</v>
      </c>
      <c r="P107" s="260">
        <v>10</v>
      </c>
      <c r="Q107" s="260">
        <v>11</v>
      </c>
      <c r="R107" s="260">
        <v>12</v>
      </c>
      <c r="S107" s="260">
        <v>13</v>
      </c>
      <c r="T107" s="260">
        <v>14</v>
      </c>
      <c r="U107" s="260">
        <v>15</v>
      </c>
      <c r="V107" s="260">
        <v>16</v>
      </c>
      <c r="W107" s="260">
        <v>17</v>
      </c>
      <c r="X107" s="260">
        <v>18</v>
      </c>
      <c r="Y107" s="260">
        <v>19</v>
      </c>
      <c r="Z107" s="260">
        <v>20</v>
      </c>
      <c r="AA107" s="260">
        <v>21</v>
      </c>
      <c r="AB107" s="260">
        <v>22</v>
      </c>
      <c r="AC107" s="260">
        <v>23</v>
      </c>
      <c r="AD107" s="260">
        <v>24</v>
      </c>
      <c r="AE107" s="260">
        <v>25</v>
      </c>
      <c r="AF107" s="260">
        <v>26</v>
      </c>
      <c r="AG107" s="260">
        <v>27</v>
      </c>
      <c r="AH107" s="260">
        <v>28</v>
      </c>
      <c r="AI107" s="260">
        <v>29</v>
      </c>
      <c r="AJ107" s="260">
        <v>30</v>
      </c>
    </row>
    <row r="108" spans="2:36" s="29" customFormat="1" ht="16">
      <c r="B108" s="261" t="s">
        <v>123</v>
      </c>
      <c r="C108" s="262" t="s">
        <v>334</v>
      </c>
      <c r="D108" s="262" t="s">
        <v>131</v>
      </c>
      <c r="E108" s="262" t="s">
        <v>334</v>
      </c>
      <c r="F108" s="259"/>
      <c r="G108" s="259"/>
      <c r="H108" s="259"/>
      <c r="I108" s="259"/>
      <c r="J108" s="259"/>
      <c r="K108" s="259"/>
      <c r="L108" s="259"/>
      <c r="M108" s="259"/>
      <c r="N108" s="259"/>
      <c r="O108" s="259"/>
      <c r="P108" s="259"/>
      <c r="Q108" s="259"/>
      <c r="R108" s="259"/>
      <c r="S108" s="259"/>
      <c r="T108" s="259"/>
      <c r="U108" s="259"/>
      <c r="V108" s="259"/>
      <c r="W108" s="259"/>
      <c r="X108" s="259"/>
      <c r="Y108" s="259"/>
      <c r="Z108" s="259"/>
      <c r="AA108" s="259"/>
      <c r="AB108" s="259"/>
      <c r="AC108" s="259"/>
      <c r="AD108" s="259"/>
      <c r="AE108" s="259"/>
      <c r="AF108" s="259"/>
      <c r="AG108" s="259"/>
      <c r="AH108" s="259"/>
      <c r="AI108" s="259"/>
      <c r="AJ108" s="259"/>
    </row>
    <row r="109" spans="2:36" s="29" customFormat="1" ht="16">
      <c r="B109" s="259" t="s">
        <v>73</v>
      </c>
      <c r="C109" s="263">
        <f>IF(Inputs!$G$22="Simple",Inputs!$G$30*Inputs!$P$84,IF(Inputs!$G$22="Intermediate",SUMPRODUCT(Inputs!$G$24:$G$28,Inputs!$P$85:$P$89),'Complex Inputs'!$F$121))</f>
        <v>16297250</v>
      </c>
      <c r="D109" s="514">
        <f t="shared" ref="D109:D116" si="27">C109/$C$120</f>
        <v>0.94</v>
      </c>
      <c r="E109" s="263">
        <f>($C$120-$C$122)*IF(Inputs!$P$80="No",1,(1-Inputs!$P$81))*D109</f>
        <v>13999337.75</v>
      </c>
      <c r="F109" s="264"/>
      <c r="G109" s="265">
        <v>0.2</v>
      </c>
      <c r="H109" s="265">
        <v>0.32</v>
      </c>
      <c r="I109" s="265">
        <v>0.192</v>
      </c>
      <c r="J109" s="265">
        <v>0.1152</v>
      </c>
      <c r="K109" s="265">
        <v>0.1152</v>
      </c>
      <c r="L109" s="265">
        <v>5.7599999999999998E-2</v>
      </c>
      <c r="M109" s="265">
        <v>0</v>
      </c>
      <c r="N109" s="265">
        <v>0</v>
      </c>
      <c r="O109" s="265">
        <v>0</v>
      </c>
      <c r="P109" s="265">
        <v>0</v>
      </c>
      <c r="Q109" s="265">
        <v>0</v>
      </c>
      <c r="R109" s="265">
        <v>0</v>
      </c>
      <c r="S109" s="265">
        <v>0</v>
      </c>
      <c r="T109" s="265">
        <v>0</v>
      </c>
      <c r="U109" s="265">
        <v>0</v>
      </c>
      <c r="V109" s="265">
        <v>0</v>
      </c>
      <c r="W109" s="265">
        <v>0</v>
      </c>
      <c r="X109" s="265">
        <v>0</v>
      </c>
      <c r="Y109" s="265">
        <v>0</v>
      </c>
      <c r="Z109" s="265">
        <v>0</v>
      </c>
      <c r="AA109" s="265">
        <v>0</v>
      </c>
      <c r="AB109" s="265">
        <v>0</v>
      </c>
      <c r="AC109" s="265">
        <v>0</v>
      </c>
      <c r="AD109" s="265">
        <v>0</v>
      </c>
      <c r="AE109" s="265">
        <v>0</v>
      </c>
      <c r="AF109" s="265">
        <v>0</v>
      </c>
      <c r="AG109" s="265">
        <v>0</v>
      </c>
      <c r="AH109" s="265">
        <v>0</v>
      </c>
      <c r="AI109" s="265">
        <v>0</v>
      </c>
      <c r="AJ109" s="265">
        <v>0</v>
      </c>
    </row>
    <row r="110" spans="2:36" s="29" customFormat="1" ht="16">
      <c r="B110" s="259" t="s">
        <v>124</v>
      </c>
      <c r="C110" s="263">
        <f>IF(Inputs!$G$22="Simple",Inputs!$G$30*Inputs!$Q$84,IF(Inputs!$G$22="Intermediate",SUMPRODUCT(Inputs!$G$24:$G$28,Inputs!$Q$85:$Q$89),'Complex Inputs'!$G$121))</f>
        <v>0</v>
      </c>
      <c r="D110" s="514">
        <f t="shared" si="27"/>
        <v>0</v>
      </c>
      <c r="E110" s="263">
        <f>($C$120-$C$122)*IF(Inputs!$P$80="No",1,(1-Inputs!$P$81))*D110</f>
        <v>0</v>
      </c>
      <c r="F110" s="259"/>
      <c r="G110" s="265">
        <v>0.1429</v>
      </c>
      <c r="H110" s="265">
        <v>0.24490000000000001</v>
      </c>
      <c r="I110" s="265">
        <v>0.1749</v>
      </c>
      <c r="J110" s="265">
        <v>0.1249</v>
      </c>
      <c r="K110" s="265">
        <v>8.9300000000000004E-2</v>
      </c>
      <c r="L110" s="265">
        <v>8.9200000000000002E-2</v>
      </c>
      <c r="M110" s="265">
        <v>8.9300000000000004E-2</v>
      </c>
      <c r="N110" s="265">
        <v>4.4600000000000001E-2</v>
      </c>
      <c r="O110" s="265">
        <v>0</v>
      </c>
      <c r="P110" s="265">
        <v>0</v>
      </c>
      <c r="Q110" s="265">
        <v>0</v>
      </c>
      <c r="R110" s="265">
        <v>0</v>
      </c>
      <c r="S110" s="265">
        <v>0</v>
      </c>
      <c r="T110" s="265">
        <v>0</v>
      </c>
      <c r="U110" s="265">
        <v>0</v>
      </c>
      <c r="V110" s="265">
        <v>0</v>
      </c>
      <c r="W110" s="265">
        <v>0</v>
      </c>
      <c r="X110" s="265">
        <v>0</v>
      </c>
      <c r="Y110" s="265">
        <v>0</v>
      </c>
      <c r="Z110" s="265">
        <v>0</v>
      </c>
      <c r="AA110" s="265">
        <v>0</v>
      </c>
      <c r="AB110" s="265">
        <v>0</v>
      </c>
      <c r="AC110" s="265">
        <v>0</v>
      </c>
      <c r="AD110" s="265">
        <v>0</v>
      </c>
      <c r="AE110" s="265">
        <v>0</v>
      </c>
      <c r="AF110" s="265">
        <v>0</v>
      </c>
      <c r="AG110" s="265">
        <v>0</v>
      </c>
      <c r="AH110" s="265">
        <v>0</v>
      </c>
      <c r="AI110" s="265">
        <v>0</v>
      </c>
      <c r="AJ110" s="265">
        <v>0</v>
      </c>
    </row>
    <row r="111" spans="2:36" s="29" customFormat="1" ht="16">
      <c r="B111" s="259" t="s">
        <v>74</v>
      </c>
      <c r="C111" s="263">
        <f>IF(Inputs!$G$22="Simple",Inputs!$G$30*Inputs!$R$84,IF(Inputs!$G$22="Intermediate",SUMPRODUCT(Inputs!$G$24:$G$28,Inputs!$R$85:$R$89),'Complex Inputs'!$H$121))</f>
        <v>260062.5</v>
      </c>
      <c r="D111" s="514">
        <f t="shared" si="27"/>
        <v>1.4999999999999999E-2</v>
      </c>
      <c r="E111" s="263">
        <f>($C$120-$C$122)*IF(Inputs!$P$80="No",1,(1-Inputs!$P$81))*D111</f>
        <v>223393.6875</v>
      </c>
      <c r="F111" s="259"/>
      <c r="G111" s="265">
        <v>0.05</v>
      </c>
      <c r="H111" s="265">
        <v>9.5000000000000001E-2</v>
      </c>
      <c r="I111" s="265">
        <v>8.5500000000000007E-2</v>
      </c>
      <c r="J111" s="265">
        <v>7.6999999999999999E-2</v>
      </c>
      <c r="K111" s="265">
        <v>6.93E-2</v>
      </c>
      <c r="L111" s="265">
        <v>6.2300000000000001E-2</v>
      </c>
      <c r="M111" s="265">
        <v>5.8999999999999997E-2</v>
      </c>
      <c r="N111" s="265">
        <v>5.8999999999999997E-2</v>
      </c>
      <c r="O111" s="265">
        <v>5.91E-2</v>
      </c>
      <c r="P111" s="265">
        <v>5.8999999999999997E-2</v>
      </c>
      <c r="Q111" s="265">
        <v>5.91E-2</v>
      </c>
      <c r="R111" s="265">
        <v>5.8999999999999997E-2</v>
      </c>
      <c r="S111" s="265">
        <v>5.91E-2</v>
      </c>
      <c r="T111" s="265">
        <v>5.8999999999999997E-2</v>
      </c>
      <c r="U111" s="265">
        <v>5.91E-2</v>
      </c>
      <c r="V111" s="265">
        <v>2.9499999999999998E-2</v>
      </c>
      <c r="W111" s="265">
        <v>0</v>
      </c>
      <c r="X111" s="265">
        <v>0</v>
      </c>
      <c r="Y111" s="265">
        <v>0</v>
      </c>
      <c r="Z111" s="265">
        <v>0</v>
      </c>
      <c r="AA111" s="265">
        <v>0</v>
      </c>
      <c r="AB111" s="265">
        <v>0</v>
      </c>
      <c r="AC111" s="265">
        <v>0</v>
      </c>
      <c r="AD111" s="265">
        <v>0</v>
      </c>
      <c r="AE111" s="265">
        <v>0</v>
      </c>
      <c r="AF111" s="265">
        <v>0</v>
      </c>
      <c r="AG111" s="265">
        <v>0</v>
      </c>
      <c r="AH111" s="265">
        <v>0</v>
      </c>
      <c r="AI111" s="265">
        <v>0</v>
      </c>
      <c r="AJ111" s="265">
        <v>0</v>
      </c>
    </row>
    <row r="112" spans="2:36" s="29" customFormat="1" ht="16">
      <c r="B112" s="259" t="s">
        <v>75</v>
      </c>
      <c r="C112" s="263">
        <f>IF(Inputs!$G$22="Simple",Inputs!$G$30*Inputs!$U$84,IF(Inputs!$G$22="Intermediate",SUMPRODUCT(Inputs!$G$24:$G$28,Inputs!$U$85:$U$89),'Complex Inputs'!$I$121))</f>
        <v>173375</v>
      </c>
      <c r="D112" s="514">
        <f t="shared" si="27"/>
        <v>0.01</v>
      </c>
      <c r="E112" s="263">
        <f>($C$120-$C$122)*IF(Inputs!$P$80="No",1,(1-Inputs!$P$81))*D112</f>
        <v>148929.125</v>
      </c>
      <c r="F112" s="259"/>
      <c r="G112" s="265">
        <v>3.7499999999999999E-2</v>
      </c>
      <c r="H112" s="265">
        <v>7.2190000000000004E-2</v>
      </c>
      <c r="I112" s="265">
        <v>6.6769999999999996E-2</v>
      </c>
      <c r="J112" s="265">
        <v>6.1769999999999999E-2</v>
      </c>
      <c r="K112" s="265">
        <v>5.713E-2</v>
      </c>
      <c r="L112" s="265">
        <v>5.2850000000000001E-2</v>
      </c>
      <c r="M112" s="265">
        <v>4.888E-2</v>
      </c>
      <c r="N112" s="265">
        <v>4.5220000000000003E-2</v>
      </c>
      <c r="O112" s="265">
        <v>4.462E-2</v>
      </c>
      <c r="P112" s="265">
        <v>4.4609999999999997E-2</v>
      </c>
      <c r="Q112" s="265">
        <v>4.462E-2</v>
      </c>
      <c r="R112" s="265">
        <v>4.4609999999999997E-2</v>
      </c>
      <c r="S112" s="265">
        <v>4.462E-2</v>
      </c>
      <c r="T112" s="265">
        <v>4.4609999999999997E-2</v>
      </c>
      <c r="U112" s="265">
        <v>4.462E-2</v>
      </c>
      <c r="V112" s="265">
        <v>4.4609999999999997E-2</v>
      </c>
      <c r="W112" s="265">
        <v>4.462E-2</v>
      </c>
      <c r="X112" s="265">
        <v>4.4609999999999997E-2</v>
      </c>
      <c r="Y112" s="265">
        <v>4.462E-2</v>
      </c>
      <c r="Z112" s="265">
        <v>4.4609999999999997E-2</v>
      </c>
      <c r="AA112" s="265">
        <v>2.231E-2</v>
      </c>
      <c r="AB112" s="265">
        <v>0</v>
      </c>
      <c r="AC112" s="265">
        <v>0</v>
      </c>
      <c r="AD112" s="265">
        <v>0</v>
      </c>
      <c r="AE112" s="265">
        <v>0</v>
      </c>
      <c r="AF112" s="265">
        <v>0</v>
      </c>
      <c r="AG112" s="265">
        <v>0</v>
      </c>
      <c r="AH112" s="265">
        <v>0</v>
      </c>
      <c r="AI112" s="265">
        <v>0</v>
      </c>
      <c r="AJ112" s="265">
        <v>0</v>
      </c>
    </row>
    <row r="113" spans="2:36" s="29" customFormat="1" ht="16">
      <c r="B113" s="259" t="s">
        <v>125</v>
      </c>
      <c r="C113" s="263">
        <f>IF(Inputs!$G$22="Simple",Inputs!$G$30*Inputs!$V$84,IF(Inputs!$G$22="Intermediate",SUMPRODUCT(Inputs!$G$24:$G$28,Inputs!$V$85:$V$89),'Complex Inputs'!$J$121))</f>
        <v>0</v>
      </c>
      <c r="D113" s="514">
        <f t="shared" si="27"/>
        <v>0</v>
      </c>
      <c r="E113" s="263">
        <f>($C$120-$C$122)*IF(Inputs!$P$80="No",1,(1-Inputs!$P$81))*D113</f>
        <v>0</v>
      </c>
      <c r="F113" s="259"/>
      <c r="G113" s="265">
        <v>0.1</v>
      </c>
      <c r="H113" s="265">
        <v>0.2</v>
      </c>
      <c r="I113" s="265">
        <v>0.2</v>
      </c>
      <c r="J113" s="265">
        <v>0.2</v>
      </c>
      <c r="K113" s="265">
        <v>0.2</v>
      </c>
      <c r="L113" s="265">
        <v>0.1</v>
      </c>
      <c r="M113" s="265">
        <f t="shared" ref="M113:AJ113" si="28">IF(M$107&lt;=5, 1/5,0)</f>
        <v>0</v>
      </c>
      <c r="N113" s="265">
        <f t="shared" si="28"/>
        <v>0</v>
      </c>
      <c r="O113" s="265">
        <f t="shared" si="28"/>
        <v>0</v>
      </c>
      <c r="P113" s="265">
        <f t="shared" si="28"/>
        <v>0</v>
      </c>
      <c r="Q113" s="265">
        <f t="shared" si="28"/>
        <v>0</v>
      </c>
      <c r="R113" s="265">
        <f t="shared" si="28"/>
        <v>0</v>
      </c>
      <c r="S113" s="265">
        <f t="shared" si="28"/>
        <v>0</v>
      </c>
      <c r="T113" s="265">
        <f t="shared" si="28"/>
        <v>0</v>
      </c>
      <c r="U113" s="265">
        <f t="shared" si="28"/>
        <v>0</v>
      </c>
      <c r="V113" s="265">
        <f t="shared" si="28"/>
        <v>0</v>
      </c>
      <c r="W113" s="265">
        <f t="shared" si="28"/>
        <v>0</v>
      </c>
      <c r="X113" s="265">
        <f t="shared" si="28"/>
        <v>0</v>
      </c>
      <c r="Y113" s="265">
        <f t="shared" si="28"/>
        <v>0</v>
      </c>
      <c r="Z113" s="265">
        <f t="shared" si="28"/>
        <v>0</v>
      </c>
      <c r="AA113" s="265">
        <f t="shared" si="28"/>
        <v>0</v>
      </c>
      <c r="AB113" s="265">
        <f t="shared" si="28"/>
        <v>0</v>
      </c>
      <c r="AC113" s="265">
        <f t="shared" si="28"/>
        <v>0</v>
      </c>
      <c r="AD113" s="265">
        <f t="shared" si="28"/>
        <v>0</v>
      </c>
      <c r="AE113" s="265">
        <f t="shared" si="28"/>
        <v>0</v>
      </c>
      <c r="AF113" s="265">
        <f t="shared" si="28"/>
        <v>0</v>
      </c>
      <c r="AG113" s="265">
        <f t="shared" si="28"/>
        <v>0</v>
      </c>
      <c r="AH113" s="265">
        <f t="shared" si="28"/>
        <v>0</v>
      </c>
      <c r="AI113" s="265">
        <f t="shared" si="28"/>
        <v>0</v>
      </c>
      <c r="AJ113" s="265">
        <f t="shared" si="28"/>
        <v>0</v>
      </c>
    </row>
    <row r="114" spans="2:36" s="29" customFormat="1" ht="16">
      <c r="B114" s="259" t="s">
        <v>126</v>
      </c>
      <c r="C114" s="263">
        <f>IF(Inputs!$G$22="Simple",Inputs!$G$30*Inputs!$W$84,IF(Inputs!$G$22="Intermediate",SUMPRODUCT(Inputs!$G$24:$G$28,Inputs!$W$85:$W$89),'Complex Inputs'!$K$121))</f>
        <v>0</v>
      </c>
      <c r="D114" s="514">
        <f t="shared" si="27"/>
        <v>0</v>
      </c>
      <c r="E114" s="263">
        <f>($C$120-$C$122)*IF(Inputs!$P$80="No",1,(1-Inputs!$P$81))*D114</f>
        <v>0</v>
      </c>
      <c r="F114" s="259"/>
      <c r="G114" s="265">
        <v>3.3300000000000003E-2</v>
      </c>
      <c r="H114" s="265">
        <v>6.6699999999999995E-2</v>
      </c>
      <c r="I114" s="265">
        <v>6.6699999999999995E-2</v>
      </c>
      <c r="J114" s="265">
        <v>6.6699999999999995E-2</v>
      </c>
      <c r="K114" s="265">
        <v>6.6699999999999995E-2</v>
      </c>
      <c r="L114" s="265">
        <v>6.6699999999999995E-2</v>
      </c>
      <c r="M114" s="265">
        <v>6.6699999999999995E-2</v>
      </c>
      <c r="N114" s="265">
        <v>6.6699999999999995E-2</v>
      </c>
      <c r="O114" s="265">
        <v>6.6699999999999995E-2</v>
      </c>
      <c r="P114" s="265">
        <v>6.6699999999999995E-2</v>
      </c>
      <c r="Q114" s="265">
        <v>6.6699999999999995E-2</v>
      </c>
      <c r="R114" s="265">
        <v>6.6600000000000006E-2</v>
      </c>
      <c r="S114" s="265">
        <v>6.6600000000000006E-2</v>
      </c>
      <c r="T114" s="265">
        <v>6.6600000000000006E-2</v>
      </c>
      <c r="U114" s="265">
        <v>6.6600000000000006E-2</v>
      </c>
      <c r="V114" s="265">
        <v>3.3300000000000003E-2</v>
      </c>
      <c r="W114" s="265">
        <f t="shared" ref="W114:AJ114" si="29">IF(W$107&lt;=15, 1/15,0)</f>
        <v>0</v>
      </c>
      <c r="X114" s="265">
        <f t="shared" si="29"/>
        <v>0</v>
      </c>
      <c r="Y114" s="265">
        <f t="shared" si="29"/>
        <v>0</v>
      </c>
      <c r="Z114" s="265">
        <f t="shared" si="29"/>
        <v>0</v>
      </c>
      <c r="AA114" s="265">
        <f t="shared" si="29"/>
        <v>0</v>
      </c>
      <c r="AB114" s="265">
        <f t="shared" si="29"/>
        <v>0</v>
      </c>
      <c r="AC114" s="265">
        <f t="shared" si="29"/>
        <v>0</v>
      </c>
      <c r="AD114" s="265">
        <f t="shared" si="29"/>
        <v>0</v>
      </c>
      <c r="AE114" s="265">
        <f t="shared" si="29"/>
        <v>0</v>
      </c>
      <c r="AF114" s="265">
        <f t="shared" si="29"/>
        <v>0</v>
      </c>
      <c r="AG114" s="265">
        <f t="shared" si="29"/>
        <v>0</v>
      </c>
      <c r="AH114" s="265">
        <f t="shared" si="29"/>
        <v>0</v>
      </c>
      <c r="AI114" s="265">
        <f t="shared" si="29"/>
        <v>0</v>
      </c>
      <c r="AJ114" s="265">
        <f t="shared" si="29"/>
        <v>0</v>
      </c>
    </row>
    <row r="115" spans="2:36" s="29" customFormat="1" ht="16">
      <c r="B115" s="259" t="s">
        <v>76</v>
      </c>
      <c r="C115" s="263">
        <f>IF(Inputs!$G$22="Simple",Inputs!$G$30*Inputs!$X$84,IF(Inputs!$G$22="Intermediate",SUMPRODUCT(Inputs!$G$24:$G$28,Inputs!$X$85:$X$89),'Complex Inputs'!$L$121))</f>
        <v>173375</v>
      </c>
      <c r="D115" s="514">
        <f t="shared" si="27"/>
        <v>0.01</v>
      </c>
      <c r="E115" s="263">
        <f>($C$120-$C$122)*IF(Inputs!$P$80="No",1,(1-Inputs!$P$81))*D115</f>
        <v>148929.125</v>
      </c>
      <c r="F115" s="259"/>
      <c r="G115" s="265">
        <v>2.5000000000000001E-2</v>
      </c>
      <c r="H115" s="265">
        <v>0.05</v>
      </c>
      <c r="I115" s="265">
        <v>0.05</v>
      </c>
      <c r="J115" s="265">
        <v>0.05</v>
      </c>
      <c r="K115" s="265">
        <v>0.05</v>
      </c>
      <c r="L115" s="265">
        <v>0.05</v>
      </c>
      <c r="M115" s="265">
        <v>0.05</v>
      </c>
      <c r="N115" s="265">
        <v>0.05</v>
      </c>
      <c r="O115" s="265">
        <v>0.05</v>
      </c>
      <c r="P115" s="265">
        <v>0.05</v>
      </c>
      <c r="Q115" s="265">
        <v>0.05</v>
      </c>
      <c r="R115" s="265">
        <v>0.05</v>
      </c>
      <c r="S115" s="265">
        <v>0.05</v>
      </c>
      <c r="T115" s="265">
        <v>0.05</v>
      </c>
      <c r="U115" s="265">
        <v>0.05</v>
      </c>
      <c r="V115" s="265">
        <v>0.05</v>
      </c>
      <c r="W115" s="265">
        <v>0.05</v>
      </c>
      <c r="X115" s="265">
        <v>0.05</v>
      </c>
      <c r="Y115" s="265">
        <v>0.05</v>
      </c>
      <c r="Z115" s="265">
        <v>0.05</v>
      </c>
      <c r="AA115" s="265">
        <v>2.5000000000000001E-2</v>
      </c>
      <c r="AB115" s="265">
        <f t="shared" ref="AB115:AJ115" si="30">IF(AB$107&lt;=20, 1/20,0)</f>
        <v>0</v>
      </c>
      <c r="AC115" s="265">
        <f t="shared" si="30"/>
        <v>0</v>
      </c>
      <c r="AD115" s="265">
        <f t="shared" si="30"/>
        <v>0</v>
      </c>
      <c r="AE115" s="265">
        <f t="shared" si="30"/>
        <v>0</v>
      </c>
      <c r="AF115" s="265">
        <f t="shared" si="30"/>
        <v>0</v>
      </c>
      <c r="AG115" s="265">
        <f t="shared" si="30"/>
        <v>0</v>
      </c>
      <c r="AH115" s="265">
        <f t="shared" si="30"/>
        <v>0</v>
      </c>
      <c r="AI115" s="265">
        <f t="shared" si="30"/>
        <v>0</v>
      </c>
      <c r="AJ115" s="265">
        <f t="shared" si="30"/>
        <v>0</v>
      </c>
    </row>
    <row r="116" spans="2:36" s="29" customFormat="1" ht="16">
      <c r="B116" s="259" t="s">
        <v>77</v>
      </c>
      <c r="C116" s="263">
        <f>IF(Inputs!$G$22="Simple",Inputs!$G$30*Inputs!$Y$84,IF(Inputs!$G$22="Intermediate",SUMPRODUCT(Inputs!$G$24:$G$28,Inputs!$Y$85:$Y$89),'Complex Inputs'!$M$121))</f>
        <v>0</v>
      </c>
      <c r="D116" s="514">
        <f t="shared" si="27"/>
        <v>0</v>
      </c>
      <c r="E116" s="263">
        <f>($C$120-$C$122)*IF(Inputs!$P$80="No",1,(1-Inputs!$P$81))*D116</f>
        <v>0</v>
      </c>
      <c r="F116" s="259"/>
      <c r="G116" s="265">
        <v>1.2800000000000001E-2</v>
      </c>
      <c r="H116" s="265">
        <v>2.5600000000000001E-2</v>
      </c>
      <c r="I116" s="265">
        <v>2.5600000000000001E-2</v>
      </c>
      <c r="J116" s="265">
        <v>2.5600000000000001E-2</v>
      </c>
      <c r="K116" s="265">
        <v>2.5600000000000001E-2</v>
      </c>
      <c r="L116" s="265">
        <v>2.5600000000000001E-2</v>
      </c>
      <c r="M116" s="265">
        <v>2.5600000000000001E-2</v>
      </c>
      <c r="N116" s="265">
        <v>2.5600000000000001E-2</v>
      </c>
      <c r="O116" s="265">
        <v>2.5600000000000001E-2</v>
      </c>
      <c r="P116" s="265">
        <v>2.5600000000000001E-2</v>
      </c>
      <c r="Q116" s="265">
        <v>2.5600000000000001E-2</v>
      </c>
      <c r="R116" s="265">
        <v>2.5600000000000001E-2</v>
      </c>
      <c r="S116" s="265">
        <v>2.5600000000000001E-2</v>
      </c>
      <c r="T116" s="265">
        <v>2.5600000000000001E-2</v>
      </c>
      <c r="U116" s="265">
        <v>2.5600000000000001E-2</v>
      </c>
      <c r="V116" s="265">
        <v>2.5600000000000001E-2</v>
      </c>
      <c r="W116" s="265">
        <v>2.5600000000000001E-2</v>
      </c>
      <c r="X116" s="265">
        <v>2.5600000000000001E-2</v>
      </c>
      <c r="Y116" s="265">
        <v>2.5600000000000001E-2</v>
      </c>
      <c r="Z116" s="265">
        <v>2.5600000000000001E-2</v>
      </c>
      <c r="AA116" s="265">
        <v>2.5600000000000001E-2</v>
      </c>
      <c r="AB116" s="265">
        <v>2.5600000000000001E-2</v>
      </c>
      <c r="AC116" s="265">
        <v>2.5600000000000001E-2</v>
      </c>
      <c r="AD116" s="265">
        <v>2.5600000000000001E-2</v>
      </c>
      <c r="AE116" s="265">
        <v>2.5600000000000001E-2</v>
      </c>
      <c r="AF116" s="265">
        <v>2.5600000000000001E-2</v>
      </c>
      <c r="AG116" s="265">
        <v>2.5600000000000001E-2</v>
      </c>
      <c r="AH116" s="265">
        <v>2.5600000000000001E-2</v>
      </c>
      <c r="AI116" s="265">
        <v>2.5600000000000001E-2</v>
      </c>
      <c r="AJ116" s="265">
        <v>2.5600000000000001E-2</v>
      </c>
    </row>
    <row r="117" spans="2:36" s="29" customFormat="1" ht="16">
      <c r="B117" s="259" t="s">
        <v>327</v>
      </c>
      <c r="C117" s="263"/>
      <c r="D117" s="514"/>
      <c r="E117" s="263">
        <f>($C$120-$C$122)*IF(Inputs!$P$80="No",0,Inputs!$P$81)</f>
        <v>0</v>
      </c>
      <c r="F117" s="259"/>
      <c r="G117" s="265">
        <v>1</v>
      </c>
      <c r="H117" s="265">
        <v>0</v>
      </c>
      <c r="I117" s="265">
        <v>0</v>
      </c>
      <c r="J117" s="265">
        <v>0</v>
      </c>
      <c r="K117" s="265">
        <v>0</v>
      </c>
      <c r="L117" s="265">
        <v>0</v>
      </c>
      <c r="M117" s="265">
        <v>0</v>
      </c>
      <c r="N117" s="265">
        <v>0</v>
      </c>
      <c r="O117" s="265">
        <v>0</v>
      </c>
      <c r="P117" s="265">
        <v>0</v>
      </c>
      <c r="Q117" s="265">
        <v>0</v>
      </c>
      <c r="R117" s="265">
        <v>0</v>
      </c>
      <c r="S117" s="265">
        <v>0</v>
      </c>
      <c r="T117" s="265">
        <v>0</v>
      </c>
      <c r="U117" s="265">
        <v>0</v>
      </c>
      <c r="V117" s="265">
        <v>0</v>
      </c>
      <c r="W117" s="265">
        <v>0</v>
      </c>
      <c r="X117" s="265">
        <v>0</v>
      </c>
      <c r="Y117" s="265">
        <v>0</v>
      </c>
      <c r="Z117" s="265">
        <v>0</v>
      </c>
      <c r="AA117" s="265">
        <v>0</v>
      </c>
      <c r="AB117" s="265">
        <v>0</v>
      </c>
      <c r="AC117" s="265">
        <v>0</v>
      </c>
      <c r="AD117" s="265">
        <v>0</v>
      </c>
      <c r="AE117" s="265">
        <v>0</v>
      </c>
      <c r="AF117" s="265">
        <v>0</v>
      </c>
      <c r="AG117" s="265">
        <v>0</v>
      </c>
      <c r="AH117" s="265">
        <v>0</v>
      </c>
      <c r="AI117" s="265">
        <v>0</v>
      </c>
      <c r="AJ117" s="265">
        <v>0</v>
      </c>
    </row>
    <row r="118" spans="2:36" s="29" customFormat="1" ht="16">
      <c r="B118" s="272" t="s">
        <v>23</v>
      </c>
      <c r="C118" s="516">
        <f>IF(Inputs!$G$22="Simple",Inputs!$G$30*Inputs!$Z$84,IF(Inputs!$G$22="Intermediate",SUMPRODUCT(Inputs!$G$24:$G$28,Inputs!$Z$85:$Z$89),'Complex Inputs'!$N$121))</f>
        <v>433437.5</v>
      </c>
      <c r="D118" s="517">
        <f>C118/$C$120</f>
        <v>2.5000000000000001E-2</v>
      </c>
      <c r="E118" s="516">
        <f>($C$120-$C$122)*IF(Inputs!$P$80="No",1,(1-Inputs!$P$81))*D118</f>
        <v>372322.8125</v>
      </c>
      <c r="F118" s="259"/>
      <c r="G118" s="266"/>
      <c r="H118" s="266"/>
      <c r="I118" s="266"/>
      <c r="J118" s="266"/>
      <c r="K118" s="266"/>
      <c r="L118" s="266"/>
      <c r="M118" s="266"/>
      <c r="N118" s="266"/>
      <c r="O118" s="266"/>
      <c r="P118" s="266"/>
      <c r="Q118" s="266"/>
      <c r="R118" s="266"/>
      <c r="S118" s="266"/>
      <c r="T118" s="266"/>
      <c r="U118" s="266"/>
      <c r="V118" s="266"/>
      <c r="W118" s="266"/>
      <c r="X118" s="266"/>
      <c r="Y118" s="266"/>
      <c r="Z118" s="266"/>
      <c r="AA118" s="266"/>
      <c r="AB118" s="266"/>
      <c r="AC118" s="266"/>
      <c r="AD118" s="266"/>
      <c r="AE118" s="266"/>
      <c r="AF118" s="266"/>
      <c r="AG118" s="266"/>
      <c r="AH118" s="266"/>
      <c r="AI118" s="266"/>
      <c r="AJ118" s="266"/>
    </row>
    <row r="119" spans="2:36" s="29" customFormat="1" ht="16">
      <c r="B119" s="346"/>
      <c r="C119" s="513" t="s">
        <v>335</v>
      </c>
      <c r="D119" s="513"/>
      <c r="E119" s="513" t="s">
        <v>336</v>
      </c>
      <c r="F119" s="259"/>
      <c r="G119" s="266"/>
      <c r="H119" s="266"/>
      <c r="I119" s="266"/>
      <c r="J119" s="266"/>
      <c r="K119" s="266"/>
      <c r="L119" s="266"/>
      <c r="M119" s="266"/>
      <c r="N119" s="266"/>
      <c r="O119" s="266"/>
      <c r="P119" s="266"/>
      <c r="Q119" s="266"/>
      <c r="R119" s="266"/>
      <c r="S119" s="266"/>
      <c r="T119" s="266"/>
      <c r="U119" s="266"/>
      <c r="V119" s="266"/>
      <c r="W119" s="266"/>
      <c r="X119" s="266"/>
      <c r="Y119" s="266"/>
      <c r="Z119" s="266"/>
      <c r="AA119" s="266"/>
      <c r="AB119" s="266"/>
      <c r="AC119" s="266"/>
      <c r="AD119" s="266"/>
      <c r="AE119" s="266"/>
      <c r="AF119" s="266"/>
      <c r="AG119" s="266"/>
      <c r="AH119" s="266"/>
      <c r="AI119" s="266"/>
      <c r="AJ119" s="266"/>
    </row>
    <row r="120" spans="2:36" s="29" customFormat="1" ht="16">
      <c r="B120" s="258" t="s">
        <v>337</v>
      </c>
      <c r="C120" s="268">
        <f>SUM(C109:C118)</f>
        <v>17337500</v>
      </c>
      <c r="D120" s="514">
        <f>SUM(D109:D118)</f>
        <v>1</v>
      </c>
      <c r="E120" s="268">
        <f>SUM(E109:E118)</f>
        <v>14892912.5</v>
      </c>
      <c r="F120" s="259"/>
      <c r="G120" s="266"/>
      <c r="H120" s="266"/>
      <c r="I120" s="266"/>
      <c r="J120" s="266"/>
      <c r="K120" s="266"/>
      <c r="L120" s="266"/>
      <c r="M120" s="266"/>
      <c r="N120" s="266"/>
      <c r="O120" s="266"/>
      <c r="P120" s="266"/>
      <c r="Q120" s="266"/>
      <c r="R120" s="266"/>
      <c r="S120" s="266"/>
      <c r="T120" s="266"/>
      <c r="U120" s="266"/>
      <c r="V120" s="266"/>
      <c r="W120" s="266"/>
      <c r="X120" s="266"/>
      <c r="Y120" s="266"/>
      <c r="Z120" s="266"/>
      <c r="AA120" s="266"/>
      <c r="AB120" s="266"/>
      <c r="AC120" s="266"/>
      <c r="AD120" s="266"/>
      <c r="AE120" s="266"/>
      <c r="AF120" s="266"/>
      <c r="AG120" s="266"/>
      <c r="AH120" s="266"/>
      <c r="AI120" s="266"/>
      <c r="AJ120" s="266"/>
    </row>
    <row r="121" spans="2:36" s="29" customFormat="1" ht="16">
      <c r="B121" s="346"/>
      <c r="C121" s="515" t="str">
        <f>IF(C120=Inputs!$G$30,"OK","error")</f>
        <v>OK</v>
      </c>
      <c r="D121" s="515" t="str">
        <f>IF(D120=100%,"OK","error")</f>
        <v>OK</v>
      </c>
      <c r="E121" s="515" t="str">
        <f>IF(E120=(C120-C122),"OK","error")</f>
        <v>OK</v>
      </c>
      <c r="F121" s="259"/>
      <c r="G121" s="266"/>
      <c r="H121" s="266"/>
      <c r="I121" s="266"/>
      <c r="J121" s="266"/>
      <c r="K121" s="266"/>
      <c r="L121" s="266"/>
      <c r="M121" s="266"/>
      <c r="N121" s="266"/>
      <c r="O121" s="266"/>
      <c r="P121" s="266"/>
      <c r="Q121" s="266"/>
      <c r="R121" s="266"/>
      <c r="S121" s="266"/>
      <c r="T121" s="266"/>
      <c r="U121" s="266"/>
      <c r="V121" s="266"/>
      <c r="W121" s="266"/>
      <c r="X121" s="266"/>
      <c r="Y121" s="266"/>
      <c r="Z121" s="266"/>
      <c r="AA121" s="266"/>
      <c r="AB121" s="266"/>
      <c r="AC121" s="266"/>
      <c r="AD121" s="266"/>
      <c r="AE121" s="266"/>
      <c r="AF121" s="266"/>
      <c r="AG121" s="266"/>
      <c r="AH121" s="266"/>
      <c r="AI121" s="266"/>
      <c r="AJ121" s="266"/>
    </row>
    <row r="122" spans="2:36" s="29" customFormat="1" ht="16">
      <c r="B122" s="259" t="s">
        <v>326</v>
      </c>
      <c r="C122" s="263">
        <f>IF(OR(Inputs!$Q$24="Performance-Based",Inputs!$Q$24="Neither"),0,50%*Inputs!$Q$28)+IF(Inputs!$Q$35="Yes",0,Inputs!$Q$34)+IF(Inputs!$Q$52="Yes",0,IF(Inputs!$Q$51=0,Inputs!$Q$50*Inputs!$G$9,MIN(Inputs!$Q$51,Inputs!$Q$50*Inputs!$G$9)))</f>
        <v>2444587.5</v>
      </c>
      <c r="D122" s="259"/>
      <c r="E122" s="263"/>
      <c r="F122" s="259"/>
      <c r="G122" s="266"/>
      <c r="H122" s="266"/>
      <c r="I122" s="266"/>
      <c r="J122" s="266"/>
      <c r="K122" s="266"/>
      <c r="L122" s="266"/>
      <c r="M122" s="266"/>
      <c r="N122" s="266"/>
      <c r="O122" s="266"/>
      <c r="P122" s="266"/>
      <c r="Q122" s="266"/>
      <c r="R122" s="266"/>
      <c r="S122" s="266"/>
      <c r="T122" s="266"/>
      <c r="U122" s="266"/>
      <c r="V122" s="266"/>
      <c r="W122" s="266"/>
      <c r="X122" s="266"/>
      <c r="Y122" s="266"/>
      <c r="Z122" s="266"/>
      <c r="AA122" s="266"/>
      <c r="AB122" s="266"/>
      <c r="AC122" s="266"/>
      <c r="AD122" s="266"/>
      <c r="AE122" s="266"/>
      <c r="AF122" s="266"/>
      <c r="AG122" s="266"/>
      <c r="AH122" s="266"/>
      <c r="AI122" s="266"/>
      <c r="AJ122" s="266"/>
    </row>
    <row r="123" spans="2:36" s="29" customFormat="1" ht="16">
      <c r="B123" s="259"/>
      <c r="C123" s="259"/>
      <c r="D123" s="259"/>
      <c r="E123" s="263"/>
      <c r="F123" s="259"/>
      <c r="G123" s="266"/>
      <c r="H123" s="266"/>
      <c r="I123" s="266"/>
      <c r="J123" s="266"/>
      <c r="K123" s="266"/>
      <c r="L123" s="266"/>
      <c r="M123" s="266"/>
      <c r="N123" s="266"/>
      <c r="O123" s="266"/>
      <c r="P123" s="266"/>
      <c r="Q123" s="266"/>
      <c r="R123" s="266"/>
      <c r="S123" s="266"/>
      <c r="T123" s="266"/>
      <c r="U123" s="266"/>
      <c r="V123" s="266"/>
      <c r="W123" s="266"/>
      <c r="X123" s="266"/>
      <c r="Y123" s="266"/>
      <c r="Z123" s="266"/>
      <c r="AA123" s="266"/>
      <c r="AB123" s="266"/>
      <c r="AC123" s="266"/>
      <c r="AD123" s="266"/>
      <c r="AE123" s="266"/>
      <c r="AF123" s="266"/>
      <c r="AG123" s="266"/>
      <c r="AH123" s="266"/>
      <c r="AI123" s="266"/>
      <c r="AJ123" s="266"/>
    </row>
    <row r="124" spans="2:36" s="29" customFormat="1" ht="16">
      <c r="B124" s="261" t="s">
        <v>148</v>
      </c>
      <c r="C124" s="261"/>
      <c r="D124" s="261"/>
      <c r="E124" s="259"/>
      <c r="F124" s="259"/>
      <c r="G124" s="266"/>
      <c r="H124" s="266"/>
      <c r="I124" s="266"/>
      <c r="J124" s="266"/>
      <c r="K124" s="266"/>
      <c r="L124" s="266"/>
      <c r="M124" s="266"/>
      <c r="N124" s="266"/>
      <c r="O124" s="266"/>
      <c r="P124" s="266"/>
      <c r="Q124" s="266"/>
      <c r="R124" s="266"/>
      <c r="S124" s="266"/>
      <c r="T124" s="266"/>
      <c r="U124" s="266"/>
      <c r="V124" s="266"/>
      <c r="W124" s="266"/>
      <c r="X124" s="266"/>
      <c r="Y124" s="266"/>
      <c r="Z124" s="266"/>
      <c r="AA124" s="266"/>
      <c r="AB124" s="266"/>
      <c r="AC124" s="266"/>
      <c r="AD124" s="266"/>
      <c r="AE124" s="266"/>
      <c r="AF124" s="266"/>
      <c r="AG124" s="266"/>
      <c r="AH124" s="266"/>
      <c r="AI124" s="266"/>
      <c r="AJ124" s="266"/>
    </row>
    <row r="125" spans="2:36" s="29" customFormat="1" ht="16">
      <c r="B125" s="259" t="s">
        <v>78</v>
      </c>
      <c r="C125" s="259"/>
      <c r="D125" s="259"/>
      <c r="E125" s="267" t="s">
        <v>133</v>
      </c>
      <c r="F125" s="268"/>
      <c r="G125" s="259"/>
      <c r="H125" s="259"/>
      <c r="I125" s="259"/>
      <c r="J125" s="259"/>
      <c r="K125" s="259"/>
      <c r="L125" s="259"/>
      <c r="M125" s="259"/>
      <c r="N125" s="259"/>
      <c r="O125" s="259"/>
      <c r="P125" s="259"/>
      <c r="Q125" s="259"/>
      <c r="R125" s="259"/>
      <c r="S125" s="259"/>
      <c r="T125" s="259"/>
      <c r="U125" s="259"/>
      <c r="V125" s="259"/>
      <c r="W125" s="259"/>
      <c r="X125" s="259"/>
      <c r="Y125" s="259"/>
      <c r="Z125" s="259"/>
      <c r="AA125" s="259"/>
      <c r="AB125" s="259"/>
      <c r="AC125" s="259"/>
      <c r="AD125" s="259"/>
      <c r="AE125" s="259"/>
      <c r="AF125" s="259"/>
      <c r="AG125" s="259"/>
      <c r="AH125" s="259"/>
      <c r="AI125" s="259"/>
      <c r="AJ125" s="259"/>
    </row>
    <row r="126" spans="2:36" s="29" customFormat="1" ht="16">
      <c r="B126" s="259" t="s">
        <v>73</v>
      </c>
      <c r="C126" s="259"/>
      <c r="D126" s="259"/>
      <c r="E126" s="269">
        <f>SUM(G126:AJ126)</f>
        <v>13999337.749999998</v>
      </c>
      <c r="F126" s="268"/>
      <c r="G126" s="270">
        <f>$E109*G109</f>
        <v>2799867.5500000003</v>
      </c>
      <c r="H126" s="270">
        <f t="shared" ref="H126:AJ126" si="31">$E109*H109</f>
        <v>4479788.08</v>
      </c>
      <c r="I126" s="270">
        <f t="shared" si="31"/>
        <v>2687872.8480000002</v>
      </c>
      <c r="J126" s="270">
        <f t="shared" si="31"/>
        <v>1612723.7087999999</v>
      </c>
      <c r="K126" s="270">
        <f t="shared" si="31"/>
        <v>1612723.7087999999</v>
      </c>
      <c r="L126" s="270">
        <f t="shared" si="31"/>
        <v>806361.85439999995</v>
      </c>
      <c r="M126" s="270">
        <f t="shared" si="31"/>
        <v>0</v>
      </c>
      <c r="N126" s="270">
        <f t="shared" si="31"/>
        <v>0</v>
      </c>
      <c r="O126" s="270">
        <f t="shared" si="31"/>
        <v>0</v>
      </c>
      <c r="P126" s="270">
        <f t="shared" si="31"/>
        <v>0</v>
      </c>
      <c r="Q126" s="270">
        <f t="shared" si="31"/>
        <v>0</v>
      </c>
      <c r="R126" s="270">
        <f t="shared" si="31"/>
        <v>0</v>
      </c>
      <c r="S126" s="270">
        <f t="shared" si="31"/>
        <v>0</v>
      </c>
      <c r="T126" s="270">
        <f t="shared" si="31"/>
        <v>0</v>
      </c>
      <c r="U126" s="270">
        <f t="shared" si="31"/>
        <v>0</v>
      </c>
      <c r="V126" s="270">
        <f t="shared" si="31"/>
        <v>0</v>
      </c>
      <c r="W126" s="270">
        <f t="shared" si="31"/>
        <v>0</v>
      </c>
      <c r="X126" s="270">
        <f t="shared" si="31"/>
        <v>0</v>
      </c>
      <c r="Y126" s="270">
        <f t="shared" si="31"/>
        <v>0</v>
      </c>
      <c r="Z126" s="270">
        <f t="shared" si="31"/>
        <v>0</v>
      </c>
      <c r="AA126" s="270">
        <f t="shared" si="31"/>
        <v>0</v>
      </c>
      <c r="AB126" s="270">
        <f t="shared" si="31"/>
        <v>0</v>
      </c>
      <c r="AC126" s="270">
        <f t="shared" si="31"/>
        <v>0</v>
      </c>
      <c r="AD126" s="270">
        <f t="shared" si="31"/>
        <v>0</v>
      </c>
      <c r="AE126" s="270">
        <f t="shared" si="31"/>
        <v>0</v>
      </c>
      <c r="AF126" s="270">
        <f t="shared" si="31"/>
        <v>0</v>
      </c>
      <c r="AG126" s="270">
        <f t="shared" si="31"/>
        <v>0</v>
      </c>
      <c r="AH126" s="270">
        <f t="shared" si="31"/>
        <v>0</v>
      </c>
      <c r="AI126" s="270">
        <f t="shared" si="31"/>
        <v>0</v>
      </c>
      <c r="AJ126" s="270">
        <f t="shared" si="31"/>
        <v>0</v>
      </c>
    </row>
    <row r="127" spans="2:36" s="29" customFormat="1" ht="16">
      <c r="B127" s="259" t="s">
        <v>124</v>
      </c>
      <c r="C127" s="259"/>
      <c r="D127" s="259"/>
      <c r="E127" s="269">
        <f t="shared" ref="E127:E134" si="32">SUM(G127:AJ127)</f>
        <v>0</v>
      </c>
      <c r="F127" s="268"/>
      <c r="G127" s="270">
        <f t="shared" ref="G127:AJ127" si="33">$E110*G110</f>
        <v>0</v>
      </c>
      <c r="H127" s="270">
        <f t="shared" si="33"/>
        <v>0</v>
      </c>
      <c r="I127" s="270">
        <f t="shared" si="33"/>
        <v>0</v>
      </c>
      <c r="J127" s="270">
        <f t="shared" si="33"/>
        <v>0</v>
      </c>
      <c r="K127" s="270">
        <f t="shared" si="33"/>
        <v>0</v>
      </c>
      <c r="L127" s="270">
        <f t="shared" si="33"/>
        <v>0</v>
      </c>
      <c r="M127" s="270">
        <f t="shared" si="33"/>
        <v>0</v>
      </c>
      <c r="N127" s="270">
        <f t="shared" si="33"/>
        <v>0</v>
      </c>
      <c r="O127" s="270">
        <f t="shared" si="33"/>
        <v>0</v>
      </c>
      <c r="P127" s="270">
        <f t="shared" si="33"/>
        <v>0</v>
      </c>
      <c r="Q127" s="270">
        <f t="shared" si="33"/>
        <v>0</v>
      </c>
      <c r="R127" s="270">
        <f t="shared" si="33"/>
        <v>0</v>
      </c>
      <c r="S127" s="270">
        <f t="shared" si="33"/>
        <v>0</v>
      </c>
      <c r="T127" s="270">
        <f t="shared" si="33"/>
        <v>0</v>
      </c>
      <c r="U127" s="270">
        <f t="shared" si="33"/>
        <v>0</v>
      </c>
      <c r="V127" s="270">
        <f t="shared" si="33"/>
        <v>0</v>
      </c>
      <c r="W127" s="270">
        <f t="shared" si="33"/>
        <v>0</v>
      </c>
      <c r="X127" s="270">
        <f t="shared" si="33"/>
        <v>0</v>
      </c>
      <c r="Y127" s="270">
        <f t="shared" si="33"/>
        <v>0</v>
      </c>
      <c r="Z127" s="270">
        <f t="shared" si="33"/>
        <v>0</v>
      </c>
      <c r="AA127" s="270">
        <f t="shared" si="33"/>
        <v>0</v>
      </c>
      <c r="AB127" s="270">
        <f t="shared" si="33"/>
        <v>0</v>
      </c>
      <c r="AC127" s="270">
        <f t="shared" si="33"/>
        <v>0</v>
      </c>
      <c r="AD127" s="270">
        <f t="shared" si="33"/>
        <v>0</v>
      </c>
      <c r="AE127" s="270">
        <f t="shared" si="33"/>
        <v>0</v>
      </c>
      <c r="AF127" s="270">
        <f t="shared" si="33"/>
        <v>0</v>
      </c>
      <c r="AG127" s="270">
        <f t="shared" si="33"/>
        <v>0</v>
      </c>
      <c r="AH127" s="270">
        <f t="shared" si="33"/>
        <v>0</v>
      </c>
      <c r="AI127" s="270">
        <f t="shared" si="33"/>
        <v>0</v>
      </c>
      <c r="AJ127" s="270">
        <f t="shared" si="33"/>
        <v>0</v>
      </c>
    </row>
    <row r="128" spans="2:36" s="29" customFormat="1" ht="16">
      <c r="B128" s="259" t="s">
        <v>74</v>
      </c>
      <c r="C128" s="259"/>
      <c r="D128" s="259"/>
      <c r="E128" s="269">
        <f t="shared" si="32"/>
        <v>223393.6875</v>
      </c>
      <c r="F128" s="268"/>
      <c r="G128" s="270">
        <f t="shared" ref="G128:AJ128" si="34">$E111*G111</f>
        <v>11169.684375000001</v>
      </c>
      <c r="H128" s="270">
        <f t="shared" si="34"/>
        <v>21222.400312500002</v>
      </c>
      <c r="I128" s="270">
        <f t="shared" si="34"/>
        <v>19100.160281250002</v>
      </c>
      <c r="J128" s="270">
        <f t="shared" si="34"/>
        <v>17201.313937499999</v>
      </c>
      <c r="K128" s="270">
        <f t="shared" si="34"/>
        <v>15481.182543749999</v>
      </c>
      <c r="L128" s="270">
        <f t="shared" si="34"/>
        <v>13917.42673125</v>
      </c>
      <c r="M128" s="270">
        <f t="shared" si="34"/>
        <v>13180.2275625</v>
      </c>
      <c r="N128" s="270">
        <f t="shared" si="34"/>
        <v>13180.2275625</v>
      </c>
      <c r="O128" s="270">
        <f t="shared" si="34"/>
        <v>13202.566931249999</v>
      </c>
      <c r="P128" s="270">
        <f t="shared" si="34"/>
        <v>13180.2275625</v>
      </c>
      <c r="Q128" s="270">
        <f t="shared" si="34"/>
        <v>13202.566931249999</v>
      </c>
      <c r="R128" s="270">
        <f t="shared" si="34"/>
        <v>13180.2275625</v>
      </c>
      <c r="S128" s="270">
        <f t="shared" si="34"/>
        <v>13202.566931249999</v>
      </c>
      <c r="T128" s="270">
        <f t="shared" si="34"/>
        <v>13180.2275625</v>
      </c>
      <c r="U128" s="270">
        <f t="shared" si="34"/>
        <v>13202.566931249999</v>
      </c>
      <c r="V128" s="270">
        <f t="shared" si="34"/>
        <v>6590.1137812500001</v>
      </c>
      <c r="W128" s="270">
        <f t="shared" si="34"/>
        <v>0</v>
      </c>
      <c r="X128" s="270">
        <f t="shared" si="34"/>
        <v>0</v>
      </c>
      <c r="Y128" s="270">
        <f t="shared" si="34"/>
        <v>0</v>
      </c>
      <c r="Z128" s="270">
        <f t="shared" si="34"/>
        <v>0</v>
      </c>
      <c r="AA128" s="270">
        <f t="shared" si="34"/>
        <v>0</v>
      </c>
      <c r="AB128" s="270">
        <f t="shared" si="34"/>
        <v>0</v>
      </c>
      <c r="AC128" s="270">
        <f t="shared" si="34"/>
        <v>0</v>
      </c>
      <c r="AD128" s="270">
        <f t="shared" si="34"/>
        <v>0</v>
      </c>
      <c r="AE128" s="270">
        <f t="shared" si="34"/>
        <v>0</v>
      </c>
      <c r="AF128" s="270">
        <f t="shared" si="34"/>
        <v>0</v>
      </c>
      <c r="AG128" s="270">
        <f t="shared" si="34"/>
        <v>0</v>
      </c>
      <c r="AH128" s="270">
        <f t="shared" si="34"/>
        <v>0</v>
      </c>
      <c r="AI128" s="270">
        <f t="shared" si="34"/>
        <v>0</v>
      </c>
      <c r="AJ128" s="270">
        <f t="shared" si="34"/>
        <v>0</v>
      </c>
    </row>
    <row r="129" spans="2:36" s="29" customFormat="1" ht="16">
      <c r="B129" s="259" t="s">
        <v>75</v>
      </c>
      <c r="C129" s="259"/>
      <c r="D129" s="259"/>
      <c r="E129" s="269">
        <f t="shared" si="32"/>
        <v>148929.12499999997</v>
      </c>
      <c r="F129" s="268"/>
      <c r="G129" s="270">
        <f t="shared" ref="G129:AJ129" si="35">$E112*G112</f>
        <v>5584.8421874999995</v>
      </c>
      <c r="H129" s="270">
        <f t="shared" si="35"/>
        <v>10751.19353375</v>
      </c>
      <c r="I129" s="270">
        <f t="shared" si="35"/>
        <v>9943.9976762499991</v>
      </c>
      <c r="J129" s="270">
        <f t="shared" si="35"/>
        <v>9199.3520512499999</v>
      </c>
      <c r="K129" s="270">
        <f t="shared" si="35"/>
        <v>8508.3209112500008</v>
      </c>
      <c r="L129" s="270">
        <f t="shared" si="35"/>
        <v>7870.9042562499999</v>
      </c>
      <c r="M129" s="270">
        <f t="shared" si="35"/>
        <v>7279.6556300000002</v>
      </c>
      <c r="N129" s="270">
        <f t="shared" si="35"/>
        <v>6734.5750325000008</v>
      </c>
      <c r="O129" s="270">
        <f t="shared" si="35"/>
        <v>6645.2175575000001</v>
      </c>
      <c r="P129" s="270">
        <f t="shared" si="35"/>
        <v>6643.7282662499993</v>
      </c>
      <c r="Q129" s="270">
        <f t="shared" si="35"/>
        <v>6645.2175575000001</v>
      </c>
      <c r="R129" s="270">
        <f t="shared" si="35"/>
        <v>6643.7282662499993</v>
      </c>
      <c r="S129" s="270">
        <f t="shared" si="35"/>
        <v>6645.2175575000001</v>
      </c>
      <c r="T129" s="270">
        <f t="shared" si="35"/>
        <v>6643.7282662499993</v>
      </c>
      <c r="U129" s="270">
        <f t="shared" si="35"/>
        <v>6645.2175575000001</v>
      </c>
      <c r="V129" s="270">
        <f t="shared" si="35"/>
        <v>6643.7282662499993</v>
      </c>
      <c r="W129" s="270">
        <f t="shared" si="35"/>
        <v>6645.2175575000001</v>
      </c>
      <c r="X129" s="270">
        <f t="shared" si="35"/>
        <v>6643.7282662499993</v>
      </c>
      <c r="Y129" s="270">
        <f t="shared" si="35"/>
        <v>6645.2175575000001</v>
      </c>
      <c r="Z129" s="270">
        <f t="shared" si="35"/>
        <v>6643.7282662499993</v>
      </c>
      <c r="AA129" s="270">
        <f t="shared" si="35"/>
        <v>3322.6087787500001</v>
      </c>
      <c r="AB129" s="270">
        <f t="shared" si="35"/>
        <v>0</v>
      </c>
      <c r="AC129" s="270">
        <f t="shared" si="35"/>
        <v>0</v>
      </c>
      <c r="AD129" s="270">
        <f t="shared" si="35"/>
        <v>0</v>
      </c>
      <c r="AE129" s="270">
        <f t="shared" si="35"/>
        <v>0</v>
      </c>
      <c r="AF129" s="270">
        <f t="shared" si="35"/>
        <v>0</v>
      </c>
      <c r="AG129" s="270">
        <f t="shared" si="35"/>
        <v>0</v>
      </c>
      <c r="AH129" s="270">
        <f t="shared" si="35"/>
        <v>0</v>
      </c>
      <c r="AI129" s="270">
        <f t="shared" si="35"/>
        <v>0</v>
      </c>
      <c r="AJ129" s="270">
        <f t="shared" si="35"/>
        <v>0</v>
      </c>
    </row>
    <row r="130" spans="2:36" s="29" customFormat="1" ht="16">
      <c r="B130" s="259" t="s">
        <v>125</v>
      </c>
      <c r="C130" s="259"/>
      <c r="D130" s="259"/>
      <c r="E130" s="269">
        <f t="shared" si="32"/>
        <v>0</v>
      </c>
      <c r="F130" s="268"/>
      <c r="G130" s="270">
        <f t="shared" ref="G130:AJ130" si="36">$E113*G113</f>
        <v>0</v>
      </c>
      <c r="H130" s="270">
        <f t="shared" si="36"/>
        <v>0</v>
      </c>
      <c r="I130" s="270">
        <f t="shared" si="36"/>
        <v>0</v>
      </c>
      <c r="J130" s="270">
        <f t="shared" si="36"/>
        <v>0</v>
      </c>
      <c r="K130" s="270">
        <f t="shared" si="36"/>
        <v>0</v>
      </c>
      <c r="L130" s="270">
        <f t="shared" si="36"/>
        <v>0</v>
      </c>
      <c r="M130" s="270">
        <f t="shared" si="36"/>
        <v>0</v>
      </c>
      <c r="N130" s="270">
        <f t="shared" si="36"/>
        <v>0</v>
      </c>
      <c r="O130" s="270">
        <f t="shared" si="36"/>
        <v>0</v>
      </c>
      <c r="P130" s="270">
        <f t="shared" si="36"/>
        <v>0</v>
      </c>
      <c r="Q130" s="270">
        <f t="shared" si="36"/>
        <v>0</v>
      </c>
      <c r="R130" s="270">
        <f t="shared" si="36"/>
        <v>0</v>
      </c>
      <c r="S130" s="270">
        <f t="shared" si="36"/>
        <v>0</v>
      </c>
      <c r="T130" s="270">
        <f t="shared" si="36"/>
        <v>0</v>
      </c>
      <c r="U130" s="270">
        <f t="shared" si="36"/>
        <v>0</v>
      </c>
      <c r="V130" s="270">
        <f t="shared" si="36"/>
        <v>0</v>
      </c>
      <c r="W130" s="270">
        <f t="shared" si="36"/>
        <v>0</v>
      </c>
      <c r="X130" s="270">
        <f t="shared" si="36"/>
        <v>0</v>
      </c>
      <c r="Y130" s="270">
        <f t="shared" si="36"/>
        <v>0</v>
      </c>
      <c r="Z130" s="270">
        <f t="shared" si="36"/>
        <v>0</v>
      </c>
      <c r="AA130" s="270">
        <f t="shared" si="36"/>
        <v>0</v>
      </c>
      <c r="AB130" s="270">
        <f t="shared" si="36"/>
        <v>0</v>
      </c>
      <c r="AC130" s="270">
        <f t="shared" si="36"/>
        <v>0</v>
      </c>
      <c r="AD130" s="270">
        <f t="shared" si="36"/>
        <v>0</v>
      </c>
      <c r="AE130" s="270">
        <f t="shared" si="36"/>
        <v>0</v>
      </c>
      <c r="AF130" s="270">
        <f t="shared" si="36"/>
        <v>0</v>
      </c>
      <c r="AG130" s="270">
        <f t="shared" si="36"/>
        <v>0</v>
      </c>
      <c r="AH130" s="270">
        <f t="shared" si="36"/>
        <v>0</v>
      </c>
      <c r="AI130" s="270">
        <f t="shared" si="36"/>
        <v>0</v>
      </c>
      <c r="AJ130" s="270">
        <f t="shared" si="36"/>
        <v>0</v>
      </c>
    </row>
    <row r="131" spans="2:36" s="29" customFormat="1" ht="16">
      <c r="B131" s="259" t="s">
        <v>126</v>
      </c>
      <c r="C131" s="259"/>
      <c r="D131" s="259"/>
      <c r="E131" s="269">
        <f t="shared" si="32"/>
        <v>0</v>
      </c>
      <c r="F131" s="268"/>
      <c r="G131" s="270">
        <f t="shared" ref="G131:AJ131" si="37">$E114*G114</f>
        <v>0</v>
      </c>
      <c r="H131" s="270">
        <f t="shared" si="37"/>
        <v>0</v>
      </c>
      <c r="I131" s="270">
        <f t="shared" si="37"/>
        <v>0</v>
      </c>
      <c r="J131" s="270">
        <f t="shared" si="37"/>
        <v>0</v>
      </c>
      <c r="K131" s="270">
        <f t="shared" si="37"/>
        <v>0</v>
      </c>
      <c r="L131" s="270">
        <f t="shared" si="37"/>
        <v>0</v>
      </c>
      <c r="M131" s="270">
        <f t="shared" si="37"/>
        <v>0</v>
      </c>
      <c r="N131" s="270">
        <f t="shared" si="37"/>
        <v>0</v>
      </c>
      <c r="O131" s="270">
        <f t="shared" si="37"/>
        <v>0</v>
      </c>
      <c r="P131" s="270">
        <f t="shared" si="37"/>
        <v>0</v>
      </c>
      <c r="Q131" s="270">
        <f t="shared" si="37"/>
        <v>0</v>
      </c>
      <c r="R131" s="270">
        <f t="shared" si="37"/>
        <v>0</v>
      </c>
      <c r="S131" s="270">
        <f t="shared" si="37"/>
        <v>0</v>
      </c>
      <c r="T131" s="270">
        <f t="shared" si="37"/>
        <v>0</v>
      </c>
      <c r="U131" s="270">
        <f t="shared" si="37"/>
        <v>0</v>
      </c>
      <c r="V131" s="270">
        <f t="shared" si="37"/>
        <v>0</v>
      </c>
      <c r="W131" s="270">
        <f t="shared" si="37"/>
        <v>0</v>
      </c>
      <c r="X131" s="270">
        <f t="shared" si="37"/>
        <v>0</v>
      </c>
      <c r="Y131" s="270">
        <f t="shared" si="37"/>
        <v>0</v>
      </c>
      <c r="Z131" s="270">
        <f t="shared" si="37"/>
        <v>0</v>
      </c>
      <c r="AA131" s="270">
        <f t="shared" si="37"/>
        <v>0</v>
      </c>
      <c r="AB131" s="270">
        <f t="shared" si="37"/>
        <v>0</v>
      </c>
      <c r="AC131" s="270">
        <f t="shared" si="37"/>
        <v>0</v>
      </c>
      <c r="AD131" s="270">
        <f t="shared" si="37"/>
        <v>0</v>
      </c>
      <c r="AE131" s="270">
        <f t="shared" si="37"/>
        <v>0</v>
      </c>
      <c r="AF131" s="270">
        <f t="shared" si="37"/>
        <v>0</v>
      </c>
      <c r="AG131" s="270">
        <f t="shared" si="37"/>
        <v>0</v>
      </c>
      <c r="AH131" s="270">
        <f t="shared" si="37"/>
        <v>0</v>
      </c>
      <c r="AI131" s="270">
        <f t="shared" si="37"/>
        <v>0</v>
      </c>
      <c r="AJ131" s="270">
        <f t="shared" si="37"/>
        <v>0</v>
      </c>
    </row>
    <row r="132" spans="2:36" s="29" customFormat="1" ht="16">
      <c r="B132" s="259" t="s">
        <v>76</v>
      </c>
      <c r="C132" s="259"/>
      <c r="D132" s="259"/>
      <c r="E132" s="269">
        <f t="shared" si="32"/>
        <v>148929.125</v>
      </c>
      <c r="F132" s="268"/>
      <c r="G132" s="270">
        <f t="shared" ref="G132:AJ132" si="38">$E115*G115</f>
        <v>3723.2281250000001</v>
      </c>
      <c r="H132" s="270">
        <f t="shared" si="38"/>
        <v>7446.4562500000002</v>
      </c>
      <c r="I132" s="270">
        <f t="shared" si="38"/>
        <v>7446.4562500000002</v>
      </c>
      <c r="J132" s="270">
        <f t="shared" si="38"/>
        <v>7446.4562500000002</v>
      </c>
      <c r="K132" s="270">
        <f t="shared" si="38"/>
        <v>7446.4562500000002</v>
      </c>
      <c r="L132" s="270">
        <f t="shared" si="38"/>
        <v>7446.4562500000002</v>
      </c>
      <c r="M132" s="270">
        <f t="shared" si="38"/>
        <v>7446.4562500000002</v>
      </c>
      <c r="N132" s="270">
        <f t="shared" si="38"/>
        <v>7446.4562500000002</v>
      </c>
      <c r="O132" s="270">
        <f t="shared" si="38"/>
        <v>7446.4562500000002</v>
      </c>
      <c r="P132" s="270">
        <f t="shared" si="38"/>
        <v>7446.4562500000002</v>
      </c>
      <c r="Q132" s="270">
        <f t="shared" si="38"/>
        <v>7446.4562500000002</v>
      </c>
      <c r="R132" s="270">
        <f t="shared" si="38"/>
        <v>7446.4562500000002</v>
      </c>
      <c r="S132" s="270">
        <f t="shared" si="38"/>
        <v>7446.4562500000002</v>
      </c>
      <c r="T132" s="270">
        <f t="shared" si="38"/>
        <v>7446.4562500000002</v>
      </c>
      <c r="U132" s="270">
        <f t="shared" si="38"/>
        <v>7446.4562500000002</v>
      </c>
      <c r="V132" s="270">
        <f t="shared" si="38"/>
        <v>7446.4562500000002</v>
      </c>
      <c r="W132" s="270">
        <f t="shared" si="38"/>
        <v>7446.4562500000002</v>
      </c>
      <c r="X132" s="270">
        <f t="shared" si="38"/>
        <v>7446.4562500000002</v>
      </c>
      <c r="Y132" s="270">
        <f t="shared" si="38"/>
        <v>7446.4562500000002</v>
      </c>
      <c r="Z132" s="270">
        <f t="shared" si="38"/>
        <v>7446.4562500000002</v>
      </c>
      <c r="AA132" s="270">
        <f t="shared" si="38"/>
        <v>3723.2281250000001</v>
      </c>
      <c r="AB132" s="270">
        <f t="shared" si="38"/>
        <v>0</v>
      </c>
      <c r="AC132" s="270">
        <f t="shared" si="38"/>
        <v>0</v>
      </c>
      <c r="AD132" s="270">
        <f t="shared" si="38"/>
        <v>0</v>
      </c>
      <c r="AE132" s="270">
        <f t="shared" si="38"/>
        <v>0</v>
      </c>
      <c r="AF132" s="270">
        <f t="shared" si="38"/>
        <v>0</v>
      </c>
      <c r="AG132" s="270">
        <f t="shared" si="38"/>
        <v>0</v>
      </c>
      <c r="AH132" s="270">
        <f t="shared" si="38"/>
        <v>0</v>
      </c>
      <c r="AI132" s="270">
        <f t="shared" si="38"/>
        <v>0</v>
      </c>
      <c r="AJ132" s="270">
        <f t="shared" si="38"/>
        <v>0</v>
      </c>
    </row>
    <row r="133" spans="2:36" s="29" customFormat="1" ht="16">
      <c r="B133" s="259" t="s">
        <v>77</v>
      </c>
      <c r="C133" s="259"/>
      <c r="D133" s="259"/>
      <c r="E133" s="269">
        <f t="shared" si="32"/>
        <v>0</v>
      </c>
      <c r="F133" s="269"/>
      <c r="G133" s="270">
        <f t="shared" ref="G133:AJ133" si="39">$E116*G116</f>
        <v>0</v>
      </c>
      <c r="H133" s="270">
        <f t="shared" si="39"/>
        <v>0</v>
      </c>
      <c r="I133" s="270">
        <f t="shared" si="39"/>
        <v>0</v>
      </c>
      <c r="J133" s="270">
        <f t="shared" si="39"/>
        <v>0</v>
      </c>
      <c r="K133" s="270">
        <f t="shared" si="39"/>
        <v>0</v>
      </c>
      <c r="L133" s="270">
        <f t="shared" si="39"/>
        <v>0</v>
      </c>
      <c r="M133" s="270">
        <f t="shared" si="39"/>
        <v>0</v>
      </c>
      <c r="N133" s="270">
        <f t="shared" si="39"/>
        <v>0</v>
      </c>
      <c r="O133" s="270">
        <f t="shared" si="39"/>
        <v>0</v>
      </c>
      <c r="P133" s="270">
        <f t="shared" si="39"/>
        <v>0</v>
      </c>
      <c r="Q133" s="270">
        <f t="shared" si="39"/>
        <v>0</v>
      </c>
      <c r="R133" s="270">
        <f t="shared" si="39"/>
        <v>0</v>
      </c>
      <c r="S133" s="270">
        <f t="shared" si="39"/>
        <v>0</v>
      </c>
      <c r="T133" s="270">
        <f t="shared" si="39"/>
        <v>0</v>
      </c>
      <c r="U133" s="270">
        <f t="shared" si="39"/>
        <v>0</v>
      </c>
      <c r="V133" s="270">
        <f t="shared" si="39"/>
        <v>0</v>
      </c>
      <c r="W133" s="270">
        <f t="shared" si="39"/>
        <v>0</v>
      </c>
      <c r="X133" s="270">
        <f t="shared" si="39"/>
        <v>0</v>
      </c>
      <c r="Y133" s="270">
        <f t="shared" si="39"/>
        <v>0</v>
      </c>
      <c r="Z133" s="270">
        <f t="shared" si="39"/>
        <v>0</v>
      </c>
      <c r="AA133" s="270">
        <f t="shared" si="39"/>
        <v>0</v>
      </c>
      <c r="AB133" s="270">
        <f t="shared" si="39"/>
        <v>0</v>
      </c>
      <c r="AC133" s="270">
        <f t="shared" si="39"/>
        <v>0</v>
      </c>
      <c r="AD133" s="270">
        <f t="shared" si="39"/>
        <v>0</v>
      </c>
      <c r="AE133" s="270">
        <f t="shared" si="39"/>
        <v>0</v>
      </c>
      <c r="AF133" s="270">
        <f t="shared" si="39"/>
        <v>0</v>
      </c>
      <c r="AG133" s="270">
        <f t="shared" si="39"/>
        <v>0</v>
      </c>
      <c r="AH133" s="270">
        <f t="shared" si="39"/>
        <v>0</v>
      </c>
      <c r="AI133" s="270">
        <f t="shared" si="39"/>
        <v>0</v>
      </c>
      <c r="AJ133" s="270">
        <f t="shared" si="39"/>
        <v>0</v>
      </c>
    </row>
    <row r="134" spans="2:36" s="29" customFormat="1" ht="16">
      <c r="B134" s="259" t="s">
        <v>327</v>
      </c>
      <c r="C134" s="259"/>
      <c r="D134" s="259"/>
      <c r="E134" s="269">
        <f t="shared" si="32"/>
        <v>0</v>
      </c>
      <c r="F134" s="269"/>
      <c r="G134" s="270">
        <f t="shared" ref="G134:AJ134" si="40">$E117*G117</f>
        <v>0</v>
      </c>
      <c r="H134" s="270">
        <f t="shared" si="40"/>
        <v>0</v>
      </c>
      <c r="I134" s="270">
        <f t="shared" si="40"/>
        <v>0</v>
      </c>
      <c r="J134" s="270">
        <f t="shared" si="40"/>
        <v>0</v>
      </c>
      <c r="K134" s="270">
        <f t="shared" si="40"/>
        <v>0</v>
      </c>
      <c r="L134" s="270">
        <f t="shared" si="40"/>
        <v>0</v>
      </c>
      <c r="M134" s="270">
        <f t="shared" si="40"/>
        <v>0</v>
      </c>
      <c r="N134" s="270">
        <f t="shared" si="40"/>
        <v>0</v>
      </c>
      <c r="O134" s="270">
        <f t="shared" si="40"/>
        <v>0</v>
      </c>
      <c r="P134" s="270">
        <f t="shared" si="40"/>
        <v>0</v>
      </c>
      <c r="Q134" s="270">
        <f t="shared" si="40"/>
        <v>0</v>
      </c>
      <c r="R134" s="270">
        <f t="shared" si="40"/>
        <v>0</v>
      </c>
      <c r="S134" s="270">
        <f t="shared" si="40"/>
        <v>0</v>
      </c>
      <c r="T134" s="270">
        <f t="shared" si="40"/>
        <v>0</v>
      </c>
      <c r="U134" s="270">
        <f t="shared" si="40"/>
        <v>0</v>
      </c>
      <c r="V134" s="270">
        <f t="shared" si="40"/>
        <v>0</v>
      </c>
      <c r="W134" s="270">
        <f t="shared" si="40"/>
        <v>0</v>
      </c>
      <c r="X134" s="270">
        <f t="shared" si="40"/>
        <v>0</v>
      </c>
      <c r="Y134" s="270">
        <f t="shared" si="40"/>
        <v>0</v>
      </c>
      <c r="Z134" s="270">
        <f t="shared" si="40"/>
        <v>0</v>
      </c>
      <c r="AA134" s="270">
        <f t="shared" si="40"/>
        <v>0</v>
      </c>
      <c r="AB134" s="270">
        <f t="shared" si="40"/>
        <v>0</v>
      </c>
      <c r="AC134" s="270">
        <f t="shared" si="40"/>
        <v>0</v>
      </c>
      <c r="AD134" s="270">
        <f t="shared" si="40"/>
        <v>0</v>
      </c>
      <c r="AE134" s="270">
        <f t="shared" si="40"/>
        <v>0</v>
      </c>
      <c r="AF134" s="270">
        <f t="shared" si="40"/>
        <v>0</v>
      </c>
      <c r="AG134" s="270">
        <f t="shared" si="40"/>
        <v>0</v>
      </c>
      <c r="AH134" s="270">
        <f t="shared" si="40"/>
        <v>0</v>
      </c>
      <c r="AI134" s="270">
        <f t="shared" si="40"/>
        <v>0</v>
      </c>
      <c r="AJ134" s="270">
        <f t="shared" si="40"/>
        <v>0</v>
      </c>
    </row>
    <row r="135" spans="2:36" s="29" customFormat="1" ht="16">
      <c r="B135" s="272" t="s">
        <v>23</v>
      </c>
      <c r="C135" s="272"/>
      <c r="D135" s="272"/>
      <c r="E135" s="273">
        <f>E118</f>
        <v>372322.8125</v>
      </c>
      <c r="F135" s="269"/>
      <c r="G135" s="271"/>
      <c r="H135" s="271"/>
      <c r="I135" s="271"/>
      <c r="J135" s="271"/>
      <c r="K135" s="271"/>
      <c r="L135" s="271"/>
      <c r="M135" s="271"/>
      <c r="N135" s="271"/>
      <c r="O135" s="271"/>
      <c r="P135" s="271"/>
      <c r="Q135" s="271"/>
      <c r="R135" s="271"/>
      <c r="S135" s="271"/>
      <c r="T135" s="271"/>
      <c r="U135" s="271"/>
      <c r="V135" s="271"/>
      <c r="W135" s="271"/>
      <c r="X135" s="271"/>
      <c r="Y135" s="271"/>
      <c r="Z135" s="271"/>
      <c r="AA135" s="271"/>
      <c r="AB135" s="271"/>
      <c r="AC135" s="271"/>
      <c r="AD135" s="271"/>
      <c r="AE135" s="271"/>
      <c r="AF135" s="271"/>
      <c r="AG135" s="271"/>
      <c r="AH135" s="271"/>
      <c r="AI135" s="271"/>
      <c r="AJ135" s="271"/>
    </row>
    <row r="136" spans="2:36" s="29" customFormat="1" ht="16">
      <c r="B136" s="274" t="s">
        <v>79</v>
      </c>
      <c r="C136" s="274"/>
      <c r="D136" s="274"/>
      <c r="E136" s="269">
        <f>SUM(E126:E135)</f>
        <v>14892912.499999998</v>
      </c>
      <c r="F136" s="275" t="str">
        <f>IF(ROUND(E136,0)=ROUND(E120,0),"OK","error")</f>
        <v>OK</v>
      </c>
      <c r="G136" s="271"/>
      <c r="H136" s="271"/>
      <c r="I136" s="271"/>
      <c r="J136" s="271"/>
      <c r="K136" s="271"/>
      <c r="L136" s="271"/>
      <c r="M136" s="271"/>
      <c r="N136" s="271"/>
      <c r="O136" s="271"/>
      <c r="P136" s="271"/>
      <c r="Q136" s="271"/>
      <c r="R136" s="271"/>
      <c r="S136" s="271"/>
      <c r="T136" s="271"/>
      <c r="U136" s="271"/>
      <c r="V136" s="271"/>
      <c r="W136" s="271"/>
      <c r="X136" s="271"/>
      <c r="Y136" s="271"/>
      <c r="Z136" s="271"/>
      <c r="AA136" s="271"/>
      <c r="AB136" s="271"/>
      <c r="AC136" s="271"/>
      <c r="AD136" s="271"/>
      <c r="AE136" s="271"/>
      <c r="AF136" s="271"/>
      <c r="AG136" s="271"/>
      <c r="AH136" s="271"/>
      <c r="AI136" s="271"/>
      <c r="AJ136" s="271"/>
    </row>
    <row r="137" spans="2:36" s="29" customFormat="1" ht="16">
      <c r="B137" s="274"/>
      <c r="C137" s="274"/>
      <c r="D137" s="274"/>
      <c r="E137" s="269"/>
      <c r="F137" s="275"/>
      <c r="G137" s="271"/>
      <c r="H137" s="271"/>
      <c r="I137" s="271"/>
      <c r="J137" s="271"/>
      <c r="K137" s="271"/>
      <c r="L137" s="271"/>
      <c r="M137" s="271"/>
      <c r="N137" s="271"/>
      <c r="O137" s="271"/>
      <c r="P137" s="271"/>
      <c r="Q137" s="271"/>
      <c r="R137" s="271"/>
      <c r="S137" s="271"/>
      <c r="T137" s="271"/>
      <c r="U137" s="271"/>
      <c r="V137" s="271"/>
      <c r="W137" s="271"/>
      <c r="X137" s="271"/>
      <c r="Y137" s="271"/>
      <c r="Z137" s="271"/>
      <c r="AA137" s="271"/>
      <c r="AB137" s="271"/>
      <c r="AC137" s="271"/>
      <c r="AD137" s="271"/>
      <c r="AE137" s="271"/>
      <c r="AF137" s="271"/>
      <c r="AG137" s="271"/>
      <c r="AH137" s="271"/>
      <c r="AI137" s="271"/>
      <c r="AJ137" s="271"/>
    </row>
    <row r="138" spans="2:36" s="29" customFormat="1" ht="16">
      <c r="B138" s="261" t="s">
        <v>149</v>
      </c>
      <c r="C138" s="261"/>
      <c r="D138" s="261"/>
      <c r="E138" s="269"/>
      <c r="F138" s="275"/>
      <c r="G138" s="271"/>
      <c r="H138" s="271"/>
      <c r="I138" s="271"/>
      <c r="J138" s="271"/>
      <c r="K138" s="271"/>
      <c r="L138" s="271"/>
      <c r="M138" s="271"/>
      <c r="N138" s="271"/>
      <c r="O138" s="271"/>
      <c r="P138" s="271"/>
      <c r="Q138" s="271"/>
      <c r="R138" s="271"/>
      <c r="S138" s="271"/>
      <c r="T138" s="271"/>
      <c r="U138" s="271"/>
      <c r="V138" s="271"/>
      <c r="W138" s="271"/>
      <c r="X138" s="271"/>
      <c r="Y138" s="271"/>
      <c r="Z138" s="271"/>
      <c r="AA138" s="271"/>
      <c r="AB138" s="271"/>
      <c r="AC138" s="271"/>
      <c r="AD138" s="271"/>
      <c r="AE138" s="271"/>
      <c r="AF138" s="271"/>
      <c r="AG138" s="271"/>
      <c r="AH138" s="271"/>
      <c r="AI138" s="271"/>
      <c r="AJ138" s="271"/>
    </row>
    <row r="139" spans="2:36" s="29" customFormat="1" ht="16">
      <c r="B139" s="259" t="s">
        <v>150</v>
      </c>
      <c r="C139" s="259"/>
      <c r="D139" s="259"/>
      <c r="E139" s="269">
        <f>Inputs!$Q$56*Inputs!$G$9</f>
        <v>0</v>
      </c>
      <c r="F139" s="275"/>
      <c r="G139" s="271">
        <f>IF(G$2=Inputs!$Q$55,'Cash Flow'!$E$139,0)</f>
        <v>0</v>
      </c>
      <c r="H139" s="271">
        <f>IF(H$2=Inputs!$Q$55,'Cash Flow'!$E$139,0)</f>
        <v>0</v>
      </c>
      <c r="I139" s="271">
        <f>IF(I$2=Inputs!$Q$55,'Cash Flow'!$E$139,0)</f>
        <v>0</v>
      </c>
      <c r="J139" s="271">
        <f>IF(J$2=Inputs!$Q$55,'Cash Flow'!$E$139,0)</f>
        <v>0</v>
      </c>
      <c r="K139" s="271">
        <f>IF(K$2=Inputs!$Q$55,'Cash Flow'!$E$139,0)</f>
        <v>0</v>
      </c>
      <c r="L139" s="271">
        <f>IF(L$2=Inputs!$Q$55,'Cash Flow'!$E$139,0)</f>
        <v>0</v>
      </c>
      <c r="M139" s="271">
        <f>IF(M$2=Inputs!$Q$55,'Cash Flow'!$E$139,0)</f>
        <v>0</v>
      </c>
      <c r="N139" s="271">
        <f>IF(N$2=Inputs!$Q$55,'Cash Flow'!$E$139,0)</f>
        <v>0</v>
      </c>
      <c r="O139" s="271">
        <f>IF(O$2=Inputs!$Q$55,'Cash Flow'!$E$139,0)</f>
        <v>0</v>
      </c>
      <c r="P139" s="271">
        <f>IF(P$2=Inputs!$Q$55,'Cash Flow'!$E$139,0)</f>
        <v>0</v>
      </c>
      <c r="Q139" s="271">
        <f>IF(Q$2=Inputs!$Q$55,'Cash Flow'!$E$139,0)</f>
        <v>0</v>
      </c>
      <c r="R139" s="271">
        <f>IF(R$2=Inputs!$Q$55,'Cash Flow'!$E$139,0)</f>
        <v>0</v>
      </c>
      <c r="S139" s="271">
        <f>IF(S$2=Inputs!$Q$55,'Cash Flow'!$E$139,0)</f>
        <v>0</v>
      </c>
      <c r="T139" s="271">
        <f>IF(T$2=Inputs!$Q$55,'Cash Flow'!$E$139,0)</f>
        <v>0</v>
      </c>
      <c r="U139" s="271">
        <f>IF(U$2=Inputs!$Q$55,'Cash Flow'!$E$139,0)</f>
        <v>0</v>
      </c>
      <c r="V139" s="271">
        <f>IF(V$2=Inputs!$Q$55,'Cash Flow'!$E$139,0)</f>
        <v>0</v>
      </c>
      <c r="W139" s="271">
        <f>IF(W$2=Inputs!$Q$55,'Cash Flow'!$E$139,0)</f>
        <v>0</v>
      </c>
      <c r="X139" s="271">
        <f>IF(X$2=Inputs!$Q$55,'Cash Flow'!$E$139,0)</f>
        <v>0</v>
      </c>
      <c r="Y139" s="271">
        <f>IF(Y$2=Inputs!$Q$55,'Cash Flow'!$E$139,0)</f>
        <v>0</v>
      </c>
      <c r="Z139" s="271">
        <f>IF(Z$2=Inputs!$Q$55,'Cash Flow'!$E$139,0)</f>
        <v>0</v>
      </c>
      <c r="AA139" s="271">
        <f>IF(AA$2=Inputs!$Q$55,'Cash Flow'!$E$139,0)</f>
        <v>0</v>
      </c>
      <c r="AB139" s="271">
        <f>IF(AB$2=Inputs!$Q$55,'Cash Flow'!$E$139,0)</f>
        <v>0</v>
      </c>
      <c r="AC139" s="271">
        <f>IF(AC$2=Inputs!$Q$55,'Cash Flow'!$E$139,0)</f>
        <v>0</v>
      </c>
      <c r="AD139" s="271">
        <f>IF(AD$2=Inputs!$Q$55,'Cash Flow'!$E$139,0)</f>
        <v>0</v>
      </c>
      <c r="AE139" s="271">
        <f>IF(AE$2=Inputs!$Q$55,'Cash Flow'!$E$139,0)</f>
        <v>0</v>
      </c>
      <c r="AF139" s="271">
        <f>IF(AF$2=Inputs!$Q$55,'Cash Flow'!$E$139,0)</f>
        <v>0</v>
      </c>
      <c r="AG139" s="271">
        <f>IF(AG$2=Inputs!$Q$55,'Cash Flow'!$E$139,0)</f>
        <v>0</v>
      </c>
      <c r="AH139" s="271">
        <f>IF(AH$2=Inputs!$Q$55,'Cash Flow'!$E$139,0)</f>
        <v>0</v>
      </c>
      <c r="AI139" s="271">
        <f>IF(AI$2=Inputs!$Q$55,'Cash Flow'!$E$139,0)</f>
        <v>0</v>
      </c>
      <c r="AJ139" s="271">
        <f>IF(AJ$2=Inputs!$Q$55,'Cash Flow'!$E$139,0)</f>
        <v>0</v>
      </c>
    </row>
    <row r="140" spans="2:36" s="29" customFormat="1" ht="16">
      <c r="B140" s="259" t="s">
        <v>152</v>
      </c>
      <c r="C140" s="259"/>
      <c r="D140" s="259"/>
      <c r="E140" s="269"/>
      <c r="F140" s="275"/>
      <c r="G140" s="276">
        <f>IF(G139&gt;0,1,IF(F140&gt;0,F140+1,0))</f>
        <v>0</v>
      </c>
      <c r="H140" s="276">
        <f t="shared" ref="H140:AJ140" si="41">IF(H139&gt;0,1,IF(G140&gt;0,G140+1,0))</f>
        <v>0</v>
      </c>
      <c r="I140" s="276">
        <f t="shared" si="41"/>
        <v>0</v>
      </c>
      <c r="J140" s="276">
        <f t="shared" si="41"/>
        <v>0</v>
      </c>
      <c r="K140" s="276">
        <f t="shared" si="41"/>
        <v>0</v>
      </c>
      <c r="L140" s="276">
        <f t="shared" si="41"/>
        <v>0</v>
      </c>
      <c r="M140" s="276">
        <f t="shared" si="41"/>
        <v>0</v>
      </c>
      <c r="N140" s="276">
        <f t="shared" si="41"/>
        <v>0</v>
      </c>
      <c r="O140" s="276">
        <f t="shared" si="41"/>
        <v>0</v>
      </c>
      <c r="P140" s="276">
        <f t="shared" si="41"/>
        <v>0</v>
      </c>
      <c r="Q140" s="276">
        <f t="shared" si="41"/>
        <v>0</v>
      </c>
      <c r="R140" s="276">
        <f t="shared" si="41"/>
        <v>0</v>
      </c>
      <c r="S140" s="276">
        <f t="shared" si="41"/>
        <v>0</v>
      </c>
      <c r="T140" s="276">
        <f t="shared" si="41"/>
        <v>0</v>
      </c>
      <c r="U140" s="276">
        <f t="shared" si="41"/>
        <v>0</v>
      </c>
      <c r="V140" s="276">
        <f t="shared" si="41"/>
        <v>0</v>
      </c>
      <c r="W140" s="276">
        <f t="shared" si="41"/>
        <v>0</v>
      </c>
      <c r="X140" s="276">
        <f t="shared" si="41"/>
        <v>0</v>
      </c>
      <c r="Y140" s="276">
        <f t="shared" si="41"/>
        <v>0</v>
      </c>
      <c r="Z140" s="276">
        <f t="shared" si="41"/>
        <v>0</v>
      </c>
      <c r="AA140" s="276">
        <f t="shared" si="41"/>
        <v>0</v>
      </c>
      <c r="AB140" s="276">
        <f t="shared" si="41"/>
        <v>0</v>
      </c>
      <c r="AC140" s="276">
        <f t="shared" si="41"/>
        <v>0</v>
      </c>
      <c r="AD140" s="276">
        <f t="shared" si="41"/>
        <v>0</v>
      </c>
      <c r="AE140" s="276">
        <f t="shared" si="41"/>
        <v>0</v>
      </c>
      <c r="AF140" s="276">
        <f t="shared" si="41"/>
        <v>0</v>
      </c>
      <c r="AG140" s="276">
        <f t="shared" si="41"/>
        <v>0</v>
      </c>
      <c r="AH140" s="276">
        <f t="shared" si="41"/>
        <v>0</v>
      </c>
      <c r="AI140" s="276">
        <f t="shared" si="41"/>
        <v>0</v>
      </c>
      <c r="AJ140" s="276">
        <f t="shared" si="41"/>
        <v>0</v>
      </c>
    </row>
    <row r="141" spans="2:36" s="29" customFormat="1" ht="16">
      <c r="B141" s="272" t="s">
        <v>153</v>
      </c>
      <c r="C141" s="272"/>
      <c r="D141" s="272"/>
      <c r="E141" s="273"/>
      <c r="F141" s="275"/>
      <c r="G141" s="271">
        <f t="shared" ref="G141:AJ141" si="42">IF(G140=0,0,$E$139*LOOKUP(G140,$G$107:$AJ$107,$G$109:$AJ$109))</f>
        <v>0</v>
      </c>
      <c r="H141" s="271">
        <f t="shared" si="42"/>
        <v>0</v>
      </c>
      <c r="I141" s="271">
        <f t="shared" si="42"/>
        <v>0</v>
      </c>
      <c r="J141" s="271">
        <f t="shared" si="42"/>
        <v>0</v>
      </c>
      <c r="K141" s="271">
        <f t="shared" si="42"/>
        <v>0</v>
      </c>
      <c r="L141" s="271">
        <f t="shared" si="42"/>
        <v>0</v>
      </c>
      <c r="M141" s="271">
        <f t="shared" si="42"/>
        <v>0</v>
      </c>
      <c r="N141" s="271">
        <f t="shared" si="42"/>
        <v>0</v>
      </c>
      <c r="O141" s="271">
        <f t="shared" si="42"/>
        <v>0</v>
      </c>
      <c r="P141" s="271">
        <f t="shared" si="42"/>
        <v>0</v>
      </c>
      <c r="Q141" s="271">
        <f t="shared" si="42"/>
        <v>0</v>
      </c>
      <c r="R141" s="271">
        <f t="shared" si="42"/>
        <v>0</v>
      </c>
      <c r="S141" s="271">
        <f t="shared" si="42"/>
        <v>0</v>
      </c>
      <c r="T141" s="271">
        <f t="shared" si="42"/>
        <v>0</v>
      </c>
      <c r="U141" s="271">
        <f t="shared" si="42"/>
        <v>0</v>
      </c>
      <c r="V141" s="271">
        <f t="shared" si="42"/>
        <v>0</v>
      </c>
      <c r="W141" s="271">
        <f t="shared" si="42"/>
        <v>0</v>
      </c>
      <c r="X141" s="271">
        <f t="shared" si="42"/>
        <v>0</v>
      </c>
      <c r="Y141" s="271">
        <f t="shared" si="42"/>
        <v>0</v>
      </c>
      <c r="Z141" s="271">
        <f t="shared" si="42"/>
        <v>0</v>
      </c>
      <c r="AA141" s="271">
        <f t="shared" si="42"/>
        <v>0</v>
      </c>
      <c r="AB141" s="271">
        <f t="shared" si="42"/>
        <v>0</v>
      </c>
      <c r="AC141" s="271">
        <f t="shared" si="42"/>
        <v>0</v>
      </c>
      <c r="AD141" s="271">
        <f t="shared" si="42"/>
        <v>0</v>
      </c>
      <c r="AE141" s="271">
        <f t="shared" si="42"/>
        <v>0</v>
      </c>
      <c r="AF141" s="271">
        <f t="shared" si="42"/>
        <v>0</v>
      </c>
      <c r="AG141" s="271">
        <f t="shared" si="42"/>
        <v>0</v>
      </c>
      <c r="AH141" s="271">
        <f t="shared" si="42"/>
        <v>0</v>
      </c>
      <c r="AI141" s="271">
        <f t="shared" si="42"/>
        <v>0</v>
      </c>
      <c r="AJ141" s="271">
        <f t="shared" si="42"/>
        <v>0</v>
      </c>
    </row>
    <row r="142" spans="2:36" s="29" customFormat="1" ht="16">
      <c r="B142" s="259" t="s">
        <v>151</v>
      </c>
      <c r="C142" s="259"/>
      <c r="D142" s="259"/>
      <c r="E142" s="269">
        <f>Inputs!$Q$58*Inputs!$G$9</f>
        <v>0</v>
      </c>
      <c r="F142" s="275"/>
      <c r="G142" s="271">
        <f>IF(G$2=Inputs!$Q$57,'Cash Flow'!$E$142,0)</f>
        <v>0</v>
      </c>
      <c r="H142" s="271">
        <f>IF(H$2=Inputs!$Q$57,'Cash Flow'!$E$142,0)</f>
        <v>0</v>
      </c>
      <c r="I142" s="271">
        <f>IF(I$2=Inputs!$Q$57,'Cash Flow'!$E$142,0)</f>
        <v>0</v>
      </c>
      <c r="J142" s="271">
        <f>IF(J$2=Inputs!$Q$57,'Cash Flow'!$E$142,0)</f>
        <v>0</v>
      </c>
      <c r="K142" s="271">
        <f>IF(K$2=Inputs!$Q$57,'Cash Flow'!$E$142,0)</f>
        <v>0</v>
      </c>
      <c r="L142" s="271">
        <f>IF(L$2=Inputs!$Q$57,'Cash Flow'!$E$142,0)</f>
        <v>0</v>
      </c>
      <c r="M142" s="271">
        <f>IF(M$2=Inputs!$Q$57,'Cash Flow'!$E$142,0)</f>
        <v>0</v>
      </c>
      <c r="N142" s="271">
        <f>IF(N$2=Inputs!$Q$57,'Cash Flow'!$E$142,0)</f>
        <v>0</v>
      </c>
      <c r="O142" s="271">
        <f>IF(O$2=Inputs!$Q$57,'Cash Flow'!$E$142,0)</f>
        <v>0</v>
      </c>
      <c r="P142" s="271">
        <f>IF(P$2=Inputs!$Q$57,'Cash Flow'!$E$142,0)</f>
        <v>0</v>
      </c>
      <c r="Q142" s="271">
        <f>IF(Q$2=Inputs!$Q$57,'Cash Flow'!$E$142,0)</f>
        <v>0</v>
      </c>
      <c r="R142" s="271">
        <f>IF(R$2=Inputs!$Q$57,'Cash Flow'!$E$142,0)</f>
        <v>0</v>
      </c>
      <c r="S142" s="271">
        <f>IF(S$2=Inputs!$Q$57,'Cash Flow'!$E$142,0)</f>
        <v>0</v>
      </c>
      <c r="T142" s="271">
        <f>IF(T$2=Inputs!$Q$57,'Cash Flow'!$E$142,0)</f>
        <v>0</v>
      </c>
      <c r="U142" s="271">
        <f>IF(U$2=Inputs!$Q$57,'Cash Flow'!$E$142,0)</f>
        <v>0</v>
      </c>
      <c r="V142" s="271">
        <f>IF(V$2=Inputs!$Q$57,'Cash Flow'!$E$142,0)</f>
        <v>0</v>
      </c>
      <c r="W142" s="271">
        <f>IF(W$2=Inputs!$Q$57,'Cash Flow'!$E$142,0)</f>
        <v>0</v>
      </c>
      <c r="X142" s="271">
        <f>IF(X$2=Inputs!$Q$57,'Cash Flow'!$E$142,0)</f>
        <v>0</v>
      </c>
      <c r="Y142" s="271">
        <f>IF(Y$2=Inputs!$Q$57,'Cash Flow'!$E$142,0)</f>
        <v>0</v>
      </c>
      <c r="Z142" s="271">
        <f>IF(Z$2=Inputs!$Q$57,'Cash Flow'!$E$142,0)</f>
        <v>0</v>
      </c>
      <c r="AA142" s="271">
        <f>IF(AA$2=Inputs!$Q$57,'Cash Flow'!$E$142,0)</f>
        <v>0</v>
      </c>
      <c r="AB142" s="271">
        <f>IF(AB$2=Inputs!$Q$57,'Cash Flow'!$E$142,0)</f>
        <v>0</v>
      </c>
      <c r="AC142" s="271">
        <f>IF(AC$2=Inputs!$Q$57,'Cash Flow'!$E$142,0)</f>
        <v>0</v>
      </c>
      <c r="AD142" s="271">
        <f>IF(AD$2=Inputs!$Q$57,'Cash Flow'!$E$142,0)</f>
        <v>0</v>
      </c>
      <c r="AE142" s="271">
        <f>IF(AE$2=Inputs!$Q$57,'Cash Flow'!$E$142,0)</f>
        <v>0</v>
      </c>
      <c r="AF142" s="271">
        <f>IF(AF$2=Inputs!$Q$57,'Cash Flow'!$E$142,0)</f>
        <v>0</v>
      </c>
      <c r="AG142" s="271">
        <f>IF(AG$2=Inputs!$Q$57,'Cash Flow'!$E$142,0)</f>
        <v>0</v>
      </c>
      <c r="AH142" s="271">
        <f>IF(AH$2=Inputs!$Q$57,'Cash Flow'!$E$142,0)</f>
        <v>0</v>
      </c>
      <c r="AI142" s="271">
        <f>IF(AI$2=Inputs!$Q$57,'Cash Flow'!$E$142,0)</f>
        <v>0</v>
      </c>
      <c r="AJ142" s="271">
        <f>IF(AJ$2=Inputs!$Q$57,'Cash Flow'!$E$142,0)</f>
        <v>0</v>
      </c>
    </row>
    <row r="143" spans="2:36" s="29" customFormat="1" ht="16">
      <c r="B143" s="259" t="s">
        <v>152</v>
      </c>
      <c r="C143" s="259"/>
      <c r="D143" s="259"/>
      <c r="E143" s="269"/>
      <c r="F143" s="275"/>
      <c r="G143" s="276">
        <f t="shared" ref="G143:AJ143" si="43">IF(G142&gt;0,1,IF(F143&gt;0,F143+1,0))</f>
        <v>0</v>
      </c>
      <c r="H143" s="276">
        <f t="shared" si="43"/>
        <v>0</v>
      </c>
      <c r="I143" s="276">
        <f t="shared" si="43"/>
        <v>0</v>
      </c>
      <c r="J143" s="276">
        <f t="shared" si="43"/>
        <v>0</v>
      </c>
      <c r="K143" s="276">
        <f t="shared" si="43"/>
        <v>0</v>
      </c>
      <c r="L143" s="276">
        <f t="shared" si="43"/>
        <v>0</v>
      </c>
      <c r="M143" s="276">
        <f t="shared" si="43"/>
        <v>0</v>
      </c>
      <c r="N143" s="276">
        <f t="shared" si="43"/>
        <v>0</v>
      </c>
      <c r="O143" s="276">
        <f t="shared" si="43"/>
        <v>0</v>
      </c>
      <c r="P143" s="276">
        <f t="shared" si="43"/>
        <v>0</v>
      </c>
      <c r="Q143" s="276">
        <f t="shared" si="43"/>
        <v>0</v>
      </c>
      <c r="R143" s="276">
        <f t="shared" si="43"/>
        <v>0</v>
      </c>
      <c r="S143" s="276">
        <f t="shared" si="43"/>
        <v>0</v>
      </c>
      <c r="T143" s="276">
        <f t="shared" si="43"/>
        <v>0</v>
      </c>
      <c r="U143" s="276">
        <f t="shared" si="43"/>
        <v>0</v>
      </c>
      <c r="V143" s="276">
        <f t="shared" si="43"/>
        <v>0</v>
      </c>
      <c r="W143" s="276">
        <f t="shared" si="43"/>
        <v>0</v>
      </c>
      <c r="X143" s="276">
        <f t="shared" si="43"/>
        <v>0</v>
      </c>
      <c r="Y143" s="276">
        <f t="shared" si="43"/>
        <v>0</v>
      </c>
      <c r="Z143" s="276">
        <f t="shared" si="43"/>
        <v>0</v>
      </c>
      <c r="AA143" s="276">
        <f t="shared" si="43"/>
        <v>0</v>
      </c>
      <c r="AB143" s="276">
        <f t="shared" si="43"/>
        <v>0</v>
      </c>
      <c r="AC143" s="276">
        <f t="shared" si="43"/>
        <v>0</v>
      </c>
      <c r="AD143" s="276">
        <f t="shared" si="43"/>
        <v>0</v>
      </c>
      <c r="AE143" s="276">
        <f t="shared" si="43"/>
        <v>0</v>
      </c>
      <c r="AF143" s="276">
        <f t="shared" si="43"/>
        <v>0</v>
      </c>
      <c r="AG143" s="276">
        <f t="shared" si="43"/>
        <v>0</v>
      </c>
      <c r="AH143" s="276">
        <f t="shared" si="43"/>
        <v>0</v>
      </c>
      <c r="AI143" s="276">
        <f t="shared" si="43"/>
        <v>0</v>
      </c>
      <c r="AJ143" s="276">
        <f t="shared" si="43"/>
        <v>0</v>
      </c>
    </row>
    <row r="144" spans="2:36" s="29" customFormat="1" ht="16">
      <c r="B144" s="272" t="s">
        <v>153</v>
      </c>
      <c r="C144" s="272"/>
      <c r="D144" s="272"/>
      <c r="E144" s="273"/>
      <c r="F144" s="275"/>
      <c r="G144" s="271">
        <f t="shared" ref="G144:AJ144" si="44">IF(G143=0,0,$E$142*LOOKUP(G143,$G$107:$AJ$107,$G$109:$AJ$109))</f>
        <v>0</v>
      </c>
      <c r="H144" s="271">
        <f t="shared" si="44"/>
        <v>0</v>
      </c>
      <c r="I144" s="271">
        <f t="shared" si="44"/>
        <v>0</v>
      </c>
      <c r="J144" s="271">
        <f t="shared" si="44"/>
        <v>0</v>
      </c>
      <c r="K144" s="271">
        <f t="shared" si="44"/>
        <v>0</v>
      </c>
      <c r="L144" s="271">
        <f t="shared" si="44"/>
        <v>0</v>
      </c>
      <c r="M144" s="271">
        <f t="shared" si="44"/>
        <v>0</v>
      </c>
      <c r="N144" s="271">
        <f t="shared" si="44"/>
        <v>0</v>
      </c>
      <c r="O144" s="271">
        <f t="shared" si="44"/>
        <v>0</v>
      </c>
      <c r="P144" s="271">
        <f t="shared" si="44"/>
        <v>0</v>
      </c>
      <c r="Q144" s="271">
        <f t="shared" si="44"/>
        <v>0</v>
      </c>
      <c r="R144" s="271">
        <f t="shared" si="44"/>
        <v>0</v>
      </c>
      <c r="S144" s="271">
        <f t="shared" si="44"/>
        <v>0</v>
      </c>
      <c r="T144" s="271">
        <f t="shared" si="44"/>
        <v>0</v>
      </c>
      <c r="U144" s="271">
        <f t="shared" si="44"/>
        <v>0</v>
      </c>
      <c r="V144" s="271">
        <f t="shared" si="44"/>
        <v>0</v>
      </c>
      <c r="W144" s="271">
        <f t="shared" si="44"/>
        <v>0</v>
      </c>
      <c r="X144" s="271">
        <f t="shared" si="44"/>
        <v>0</v>
      </c>
      <c r="Y144" s="271">
        <f t="shared" si="44"/>
        <v>0</v>
      </c>
      <c r="Z144" s="271">
        <f t="shared" si="44"/>
        <v>0</v>
      </c>
      <c r="AA144" s="271">
        <f t="shared" si="44"/>
        <v>0</v>
      </c>
      <c r="AB144" s="271">
        <f t="shared" si="44"/>
        <v>0</v>
      </c>
      <c r="AC144" s="271">
        <f t="shared" si="44"/>
        <v>0</v>
      </c>
      <c r="AD144" s="271">
        <f t="shared" si="44"/>
        <v>0</v>
      </c>
      <c r="AE144" s="271">
        <f t="shared" si="44"/>
        <v>0</v>
      </c>
      <c r="AF144" s="271">
        <f t="shared" si="44"/>
        <v>0</v>
      </c>
      <c r="AG144" s="271">
        <f t="shared" si="44"/>
        <v>0</v>
      </c>
      <c r="AH144" s="271">
        <f t="shared" si="44"/>
        <v>0</v>
      </c>
      <c r="AI144" s="271">
        <f t="shared" si="44"/>
        <v>0</v>
      </c>
      <c r="AJ144" s="271">
        <f t="shared" si="44"/>
        <v>0</v>
      </c>
    </row>
    <row r="145" spans="2:36" s="29" customFormat="1" ht="16">
      <c r="B145" s="259" t="s">
        <v>355</v>
      </c>
      <c r="C145" s="259"/>
      <c r="D145" s="259"/>
      <c r="E145" s="269">
        <f>Inputs!$Q$60*Inputs!$G$9</f>
        <v>0</v>
      </c>
      <c r="F145" s="275"/>
      <c r="G145" s="271">
        <f>IF(G$2=Inputs!$Q$59,'Cash Flow'!$E$145,0)</f>
        <v>0</v>
      </c>
      <c r="H145" s="271">
        <f>IF(H$2=Inputs!$Q$59,'Cash Flow'!$E$145,0)</f>
        <v>0</v>
      </c>
      <c r="I145" s="271">
        <f>IF(I$2=Inputs!$Q$59,'Cash Flow'!$E$145,0)</f>
        <v>0</v>
      </c>
      <c r="J145" s="271">
        <f>IF(J$2=Inputs!$Q$59,'Cash Flow'!$E$145,0)</f>
        <v>0</v>
      </c>
      <c r="K145" s="271">
        <f>IF(K$2=Inputs!$Q$59,'Cash Flow'!$E$145,0)</f>
        <v>0</v>
      </c>
      <c r="L145" s="271">
        <f>IF(L$2=Inputs!$Q$59,'Cash Flow'!$E$145,0)</f>
        <v>0</v>
      </c>
      <c r="M145" s="271">
        <f>IF(M$2=Inputs!$Q$59,'Cash Flow'!$E$145,0)</f>
        <v>0</v>
      </c>
      <c r="N145" s="271">
        <f>IF(N$2=Inputs!$Q$59,'Cash Flow'!$E$145,0)</f>
        <v>0</v>
      </c>
      <c r="O145" s="271">
        <f>IF(O$2=Inputs!$Q$59,'Cash Flow'!$E$145,0)</f>
        <v>0</v>
      </c>
      <c r="P145" s="271">
        <f>IF(P$2=Inputs!$Q$59,'Cash Flow'!$E$145,0)</f>
        <v>0</v>
      </c>
      <c r="Q145" s="271">
        <f>IF(Q$2=Inputs!$Q$59,'Cash Flow'!$E$145,0)</f>
        <v>0</v>
      </c>
      <c r="R145" s="271">
        <f>IF(R$2=Inputs!$Q$59,'Cash Flow'!$E$145,0)</f>
        <v>0</v>
      </c>
      <c r="S145" s="271">
        <f>IF(S$2=Inputs!$Q$59,'Cash Flow'!$E$145,0)</f>
        <v>0</v>
      </c>
      <c r="T145" s="271">
        <f>IF(T$2=Inputs!$Q$59,'Cash Flow'!$E$145,0)</f>
        <v>0</v>
      </c>
      <c r="U145" s="271">
        <f>IF(U$2=Inputs!$Q$59,'Cash Flow'!$E$145,0)</f>
        <v>0</v>
      </c>
      <c r="V145" s="271">
        <f>IF(V$2=Inputs!$Q$59,'Cash Flow'!$E$145,0)</f>
        <v>0</v>
      </c>
      <c r="W145" s="271">
        <f>IF(W$2=Inputs!$Q$59,'Cash Flow'!$E$145,0)</f>
        <v>0</v>
      </c>
      <c r="X145" s="271">
        <f>IF(X$2=Inputs!$Q$59,'Cash Flow'!$E$145,0)</f>
        <v>0</v>
      </c>
      <c r="Y145" s="271">
        <f>IF(Y$2=Inputs!$Q$59,'Cash Flow'!$E$145,0)</f>
        <v>0</v>
      </c>
      <c r="Z145" s="271">
        <f>IF(Z$2=Inputs!$Q$59,'Cash Flow'!$E$145,0)</f>
        <v>0</v>
      </c>
      <c r="AA145" s="271">
        <f>IF(AA$2=Inputs!$Q$59,'Cash Flow'!$E$145,0)</f>
        <v>0</v>
      </c>
      <c r="AB145" s="271">
        <f>IF(AB$2=Inputs!$Q$59,'Cash Flow'!$E$145,0)</f>
        <v>0</v>
      </c>
      <c r="AC145" s="271">
        <f>IF(AC$2=Inputs!$Q$59,'Cash Flow'!$E$145,0)</f>
        <v>0</v>
      </c>
      <c r="AD145" s="271">
        <f>IF(AD$2=Inputs!$Q$59,'Cash Flow'!$E$145,0)</f>
        <v>0</v>
      </c>
      <c r="AE145" s="271">
        <f>IF(AE$2=Inputs!$Q$59,'Cash Flow'!$E$145,0)</f>
        <v>0</v>
      </c>
      <c r="AF145" s="271">
        <f>IF(AF$2=Inputs!$Q$59,'Cash Flow'!$E$145,0)</f>
        <v>0</v>
      </c>
      <c r="AG145" s="271">
        <f>IF(AG$2=Inputs!$Q$59,'Cash Flow'!$E$145,0)</f>
        <v>0</v>
      </c>
      <c r="AH145" s="271">
        <f>IF(AH$2=Inputs!$Q$59,'Cash Flow'!$E$145,0)</f>
        <v>0</v>
      </c>
      <c r="AI145" s="271">
        <f>IF(AI$2=Inputs!$Q$59,'Cash Flow'!$E$145,0)</f>
        <v>0</v>
      </c>
      <c r="AJ145" s="271">
        <f>IF(AJ$2=Inputs!$Q$59,'Cash Flow'!$E$145,0)</f>
        <v>0</v>
      </c>
    </row>
    <row r="146" spans="2:36" s="29" customFormat="1" ht="16">
      <c r="B146" s="259" t="s">
        <v>152</v>
      </c>
      <c r="C146" s="259"/>
      <c r="D146" s="259"/>
      <c r="E146" s="269"/>
      <c r="F146" s="275"/>
      <c r="G146" s="276">
        <f>IF(G145&gt;0,1,IF(F146&gt;0,F146+1,0))</f>
        <v>0</v>
      </c>
      <c r="H146" s="276">
        <f t="shared" ref="H146:AJ146" si="45">IF(H145&gt;0,1,IF(G146&gt;0,G146+1,0))</f>
        <v>0</v>
      </c>
      <c r="I146" s="276">
        <f t="shared" si="45"/>
        <v>0</v>
      </c>
      <c r="J146" s="276">
        <f t="shared" si="45"/>
        <v>0</v>
      </c>
      <c r="K146" s="276">
        <f t="shared" si="45"/>
        <v>0</v>
      </c>
      <c r="L146" s="276">
        <f t="shared" si="45"/>
        <v>0</v>
      </c>
      <c r="M146" s="276">
        <f t="shared" si="45"/>
        <v>0</v>
      </c>
      <c r="N146" s="276">
        <f t="shared" si="45"/>
        <v>0</v>
      </c>
      <c r="O146" s="276">
        <f t="shared" si="45"/>
        <v>0</v>
      </c>
      <c r="P146" s="276">
        <f t="shared" si="45"/>
        <v>0</v>
      </c>
      <c r="Q146" s="276">
        <f t="shared" si="45"/>
        <v>0</v>
      </c>
      <c r="R146" s="276">
        <f t="shared" si="45"/>
        <v>0</v>
      </c>
      <c r="S146" s="276">
        <f t="shared" si="45"/>
        <v>0</v>
      </c>
      <c r="T146" s="276">
        <f t="shared" si="45"/>
        <v>0</v>
      </c>
      <c r="U146" s="276">
        <f t="shared" si="45"/>
        <v>0</v>
      </c>
      <c r="V146" s="276">
        <f t="shared" si="45"/>
        <v>0</v>
      </c>
      <c r="W146" s="276">
        <f t="shared" si="45"/>
        <v>0</v>
      </c>
      <c r="X146" s="276">
        <f t="shared" si="45"/>
        <v>0</v>
      </c>
      <c r="Y146" s="276">
        <f t="shared" si="45"/>
        <v>0</v>
      </c>
      <c r="Z146" s="276">
        <f t="shared" si="45"/>
        <v>0</v>
      </c>
      <c r="AA146" s="276">
        <f t="shared" si="45"/>
        <v>0</v>
      </c>
      <c r="AB146" s="276">
        <f t="shared" si="45"/>
        <v>0</v>
      </c>
      <c r="AC146" s="276">
        <f t="shared" si="45"/>
        <v>0</v>
      </c>
      <c r="AD146" s="276">
        <f t="shared" si="45"/>
        <v>0</v>
      </c>
      <c r="AE146" s="276">
        <f t="shared" si="45"/>
        <v>0</v>
      </c>
      <c r="AF146" s="276">
        <f t="shared" si="45"/>
        <v>0</v>
      </c>
      <c r="AG146" s="276">
        <f t="shared" si="45"/>
        <v>0</v>
      </c>
      <c r="AH146" s="276">
        <f t="shared" si="45"/>
        <v>0</v>
      </c>
      <c r="AI146" s="276">
        <f t="shared" si="45"/>
        <v>0</v>
      </c>
      <c r="AJ146" s="276">
        <f t="shared" si="45"/>
        <v>0</v>
      </c>
    </row>
    <row r="147" spans="2:36" s="29" customFormat="1" ht="16">
      <c r="B147" s="272" t="s">
        <v>153</v>
      </c>
      <c r="C147" s="272"/>
      <c r="D147" s="272"/>
      <c r="E147" s="273"/>
      <c r="F147" s="275"/>
      <c r="G147" s="271">
        <f>IF(G146=0,0,$E$145*LOOKUP(G146,$G$107:$AJ$107,$G$109:$AJ$109))</f>
        <v>0</v>
      </c>
      <c r="H147" s="271">
        <f t="shared" ref="H147:AJ147" si="46">IF(H146=0,0,$E$145*LOOKUP(H146,$G$107:$AJ$107,$G$109:$AJ$109))</f>
        <v>0</v>
      </c>
      <c r="I147" s="271">
        <f t="shared" si="46"/>
        <v>0</v>
      </c>
      <c r="J147" s="271">
        <f t="shared" si="46"/>
        <v>0</v>
      </c>
      <c r="K147" s="271">
        <f t="shared" si="46"/>
        <v>0</v>
      </c>
      <c r="L147" s="271">
        <f t="shared" si="46"/>
        <v>0</v>
      </c>
      <c r="M147" s="271">
        <f t="shared" si="46"/>
        <v>0</v>
      </c>
      <c r="N147" s="271">
        <f t="shared" si="46"/>
        <v>0</v>
      </c>
      <c r="O147" s="271">
        <f t="shared" si="46"/>
        <v>0</v>
      </c>
      <c r="P147" s="271">
        <f t="shared" si="46"/>
        <v>0</v>
      </c>
      <c r="Q147" s="271">
        <f t="shared" si="46"/>
        <v>0</v>
      </c>
      <c r="R147" s="271">
        <f t="shared" si="46"/>
        <v>0</v>
      </c>
      <c r="S147" s="271">
        <f t="shared" si="46"/>
        <v>0</v>
      </c>
      <c r="T147" s="271">
        <f t="shared" si="46"/>
        <v>0</v>
      </c>
      <c r="U147" s="271">
        <f t="shared" si="46"/>
        <v>0</v>
      </c>
      <c r="V147" s="271">
        <f t="shared" si="46"/>
        <v>0</v>
      </c>
      <c r="W147" s="271">
        <f t="shared" si="46"/>
        <v>0</v>
      </c>
      <c r="X147" s="271">
        <f t="shared" si="46"/>
        <v>0</v>
      </c>
      <c r="Y147" s="271">
        <f t="shared" si="46"/>
        <v>0</v>
      </c>
      <c r="Z147" s="271">
        <f t="shared" si="46"/>
        <v>0</v>
      </c>
      <c r="AA147" s="271">
        <f t="shared" si="46"/>
        <v>0</v>
      </c>
      <c r="AB147" s="271">
        <f t="shared" si="46"/>
        <v>0</v>
      </c>
      <c r="AC147" s="271">
        <f t="shared" si="46"/>
        <v>0</v>
      </c>
      <c r="AD147" s="271">
        <f t="shared" si="46"/>
        <v>0</v>
      </c>
      <c r="AE147" s="271">
        <f t="shared" si="46"/>
        <v>0</v>
      </c>
      <c r="AF147" s="271">
        <f t="shared" si="46"/>
        <v>0</v>
      </c>
      <c r="AG147" s="271">
        <f t="shared" si="46"/>
        <v>0</v>
      </c>
      <c r="AH147" s="271">
        <f t="shared" si="46"/>
        <v>0</v>
      </c>
      <c r="AI147" s="271">
        <f t="shared" si="46"/>
        <v>0</v>
      </c>
      <c r="AJ147" s="271">
        <f t="shared" si="46"/>
        <v>0</v>
      </c>
    </row>
    <row r="148" spans="2:36" s="29" customFormat="1" ht="16">
      <c r="B148" s="259" t="s">
        <v>356</v>
      </c>
      <c r="C148" s="259"/>
      <c r="D148" s="259"/>
      <c r="E148" s="269">
        <f>Inputs!$Q$62*Inputs!$G$9</f>
        <v>0</v>
      </c>
      <c r="F148" s="275"/>
      <c r="G148" s="271">
        <f>IF(G$2=Inputs!$Q$61,'Cash Flow'!$E$148,0)</f>
        <v>0</v>
      </c>
      <c r="H148" s="271">
        <f>IF(H$2=Inputs!$Q$61,'Cash Flow'!$E$148,0)</f>
        <v>0</v>
      </c>
      <c r="I148" s="271">
        <f>IF(I$2=Inputs!$Q$61,'Cash Flow'!$E$148,0)</f>
        <v>0</v>
      </c>
      <c r="J148" s="271">
        <f>IF(J$2=Inputs!$Q$61,'Cash Flow'!$E$148,0)</f>
        <v>0</v>
      </c>
      <c r="K148" s="271">
        <f>IF(K$2=Inputs!$Q$61,'Cash Flow'!$E$148,0)</f>
        <v>0</v>
      </c>
      <c r="L148" s="271">
        <f>IF(L$2=Inputs!$Q$61,'Cash Flow'!$E$148,0)</f>
        <v>0</v>
      </c>
      <c r="M148" s="271">
        <f>IF(M$2=Inputs!$Q$61,'Cash Flow'!$E$148,0)</f>
        <v>0</v>
      </c>
      <c r="N148" s="271">
        <f>IF(N$2=Inputs!$Q$61,'Cash Flow'!$E$148,0)</f>
        <v>0</v>
      </c>
      <c r="O148" s="271">
        <f>IF(O$2=Inputs!$Q$61,'Cash Flow'!$E$148,0)</f>
        <v>0</v>
      </c>
      <c r="P148" s="271">
        <f>IF(P$2=Inputs!$Q$61,'Cash Flow'!$E$148,0)</f>
        <v>0</v>
      </c>
      <c r="Q148" s="271">
        <f>IF(Q$2=Inputs!$Q$61,'Cash Flow'!$E$148,0)</f>
        <v>0</v>
      </c>
      <c r="R148" s="271">
        <f>IF(R$2=Inputs!$Q$61,'Cash Flow'!$E$148,0)</f>
        <v>0</v>
      </c>
      <c r="S148" s="271">
        <f>IF(S$2=Inputs!$Q$61,'Cash Flow'!$E$148,0)</f>
        <v>0</v>
      </c>
      <c r="T148" s="271">
        <f>IF(T$2=Inputs!$Q$61,'Cash Flow'!$E$148,0)</f>
        <v>0</v>
      </c>
      <c r="U148" s="271">
        <f>IF(U$2=Inputs!$Q$61,'Cash Flow'!$E$148,0)</f>
        <v>0</v>
      </c>
      <c r="V148" s="271">
        <f>IF(V$2=Inputs!$Q$61,'Cash Flow'!$E$148,0)</f>
        <v>0</v>
      </c>
      <c r="W148" s="271">
        <f>IF(W$2=Inputs!$Q$61,'Cash Flow'!$E$148,0)</f>
        <v>0</v>
      </c>
      <c r="X148" s="271">
        <f>IF(X$2=Inputs!$Q$61,'Cash Flow'!$E$148,0)</f>
        <v>0</v>
      </c>
      <c r="Y148" s="271">
        <f>IF(Y$2=Inputs!$Q$61,'Cash Flow'!$E$148,0)</f>
        <v>0</v>
      </c>
      <c r="Z148" s="271">
        <f>IF(Z$2=Inputs!$Q$61,'Cash Flow'!$E$148,0)</f>
        <v>0</v>
      </c>
      <c r="AA148" s="271">
        <f>IF(AA$2=Inputs!$Q$61,'Cash Flow'!$E$148,0)</f>
        <v>0</v>
      </c>
      <c r="AB148" s="271">
        <f>IF(AB$2=Inputs!$Q$61,'Cash Flow'!$E$148,0)</f>
        <v>0</v>
      </c>
      <c r="AC148" s="271">
        <f>IF(AC$2=Inputs!$Q$61,'Cash Flow'!$E$148,0)</f>
        <v>0</v>
      </c>
      <c r="AD148" s="271">
        <f>IF(AD$2=Inputs!$Q$61,'Cash Flow'!$E$148,0)</f>
        <v>0</v>
      </c>
      <c r="AE148" s="271">
        <f>IF(AE$2=Inputs!$Q$61,'Cash Flow'!$E$148,0)</f>
        <v>0</v>
      </c>
      <c r="AF148" s="271">
        <f>IF(AF$2=Inputs!$Q$61,'Cash Flow'!$E$148,0)</f>
        <v>0</v>
      </c>
      <c r="AG148" s="271">
        <f>IF(AG$2=Inputs!$Q$61,'Cash Flow'!$E$148,0)</f>
        <v>0</v>
      </c>
      <c r="AH148" s="271">
        <f>IF(AH$2=Inputs!$Q$61,'Cash Flow'!$E$148,0)</f>
        <v>0</v>
      </c>
      <c r="AI148" s="271">
        <f>IF(AI$2=Inputs!$Q$61,'Cash Flow'!$E$148,0)</f>
        <v>0</v>
      </c>
      <c r="AJ148" s="271">
        <f>IF(AJ$2=Inputs!$Q$61,'Cash Flow'!$E$148,0)</f>
        <v>0</v>
      </c>
    </row>
    <row r="149" spans="2:36" s="29" customFormat="1" ht="16">
      <c r="B149" s="259" t="s">
        <v>152</v>
      </c>
      <c r="C149" s="259"/>
      <c r="D149" s="259"/>
      <c r="E149" s="269"/>
      <c r="F149" s="275"/>
      <c r="G149" s="276">
        <f>IF(G148&gt;0,1,IF(F149&gt;0,F149+1,0))</f>
        <v>0</v>
      </c>
      <c r="H149" s="276">
        <f t="shared" ref="H149:AJ149" si="47">IF(H148&gt;0,1,IF(G149&gt;0,G149+1,0))</f>
        <v>0</v>
      </c>
      <c r="I149" s="276">
        <f t="shared" si="47"/>
        <v>0</v>
      </c>
      <c r="J149" s="276">
        <f t="shared" si="47"/>
        <v>0</v>
      </c>
      <c r="K149" s="276">
        <f t="shared" si="47"/>
        <v>0</v>
      </c>
      <c r="L149" s="276">
        <f t="shared" si="47"/>
        <v>0</v>
      </c>
      <c r="M149" s="276">
        <f t="shared" si="47"/>
        <v>0</v>
      </c>
      <c r="N149" s="276">
        <f t="shared" si="47"/>
        <v>0</v>
      </c>
      <c r="O149" s="276">
        <f t="shared" si="47"/>
        <v>0</v>
      </c>
      <c r="P149" s="276">
        <f t="shared" si="47"/>
        <v>0</v>
      </c>
      <c r="Q149" s="276">
        <f t="shared" si="47"/>
        <v>0</v>
      </c>
      <c r="R149" s="276">
        <f t="shared" si="47"/>
        <v>0</v>
      </c>
      <c r="S149" s="276">
        <f t="shared" si="47"/>
        <v>0</v>
      </c>
      <c r="T149" s="276">
        <f t="shared" si="47"/>
        <v>0</v>
      </c>
      <c r="U149" s="276">
        <f t="shared" si="47"/>
        <v>0</v>
      </c>
      <c r="V149" s="276">
        <f t="shared" si="47"/>
        <v>0</v>
      </c>
      <c r="W149" s="276">
        <f t="shared" si="47"/>
        <v>0</v>
      </c>
      <c r="X149" s="276">
        <f t="shared" si="47"/>
        <v>0</v>
      </c>
      <c r="Y149" s="276">
        <f t="shared" si="47"/>
        <v>0</v>
      </c>
      <c r="Z149" s="276">
        <f t="shared" si="47"/>
        <v>0</v>
      </c>
      <c r="AA149" s="276">
        <f t="shared" si="47"/>
        <v>0</v>
      </c>
      <c r="AB149" s="276">
        <f t="shared" si="47"/>
        <v>0</v>
      </c>
      <c r="AC149" s="276">
        <f t="shared" si="47"/>
        <v>0</v>
      </c>
      <c r="AD149" s="276">
        <f t="shared" si="47"/>
        <v>0</v>
      </c>
      <c r="AE149" s="276">
        <f t="shared" si="47"/>
        <v>0</v>
      </c>
      <c r="AF149" s="276">
        <f t="shared" si="47"/>
        <v>0</v>
      </c>
      <c r="AG149" s="276">
        <f t="shared" si="47"/>
        <v>0</v>
      </c>
      <c r="AH149" s="276">
        <f t="shared" si="47"/>
        <v>0</v>
      </c>
      <c r="AI149" s="276">
        <f t="shared" si="47"/>
        <v>0</v>
      </c>
      <c r="AJ149" s="276">
        <f t="shared" si="47"/>
        <v>0</v>
      </c>
    </row>
    <row r="150" spans="2:36" s="29" customFormat="1" ht="16">
      <c r="B150" s="272" t="s">
        <v>153</v>
      </c>
      <c r="C150" s="272"/>
      <c r="D150" s="272"/>
      <c r="E150" s="273"/>
      <c r="F150" s="275"/>
      <c r="G150" s="271">
        <f>IF(G149=0,0,$E$148*LOOKUP(G149,$G$107:$AJ$107,$G$109:$AJ$109))</f>
        <v>0</v>
      </c>
      <c r="H150" s="271">
        <f t="shared" ref="H150:AJ150" si="48">IF(H149=0,0,$E$148*LOOKUP(H149,$G$107:$AJ$107,$G$109:$AJ$109))</f>
        <v>0</v>
      </c>
      <c r="I150" s="271">
        <f t="shared" si="48"/>
        <v>0</v>
      </c>
      <c r="J150" s="271">
        <f t="shared" si="48"/>
        <v>0</v>
      </c>
      <c r="K150" s="271">
        <f t="shared" si="48"/>
        <v>0</v>
      </c>
      <c r="L150" s="271">
        <f t="shared" si="48"/>
        <v>0</v>
      </c>
      <c r="M150" s="271">
        <f t="shared" si="48"/>
        <v>0</v>
      </c>
      <c r="N150" s="271">
        <f t="shared" si="48"/>
        <v>0</v>
      </c>
      <c r="O150" s="271">
        <f t="shared" si="48"/>
        <v>0</v>
      </c>
      <c r="P150" s="271">
        <f t="shared" si="48"/>
        <v>0</v>
      </c>
      <c r="Q150" s="271">
        <f t="shared" si="48"/>
        <v>0</v>
      </c>
      <c r="R150" s="271">
        <f t="shared" si="48"/>
        <v>0</v>
      </c>
      <c r="S150" s="271">
        <f t="shared" si="48"/>
        <v>0</v>
      </c>
      <c r="T150" s="271">
        <f t="shared" si="48"/>
        <v>0</v>
      </c>
      <c r="U150" s="271">
        <f t="shared" si="48"/>
        <v>0</v>
      </c>
      <c r="V150" s="271">
        <f t="shared" si="48"/>
        <v>0</v>
      </c>
      <c r="W150" s="271">
        <f t="shared" si="48"/>
        <v>0</v>
      </c>
      <c r="X150" s="271">
        <f t="shared" si="48"/>
        <v>0</v>
      </c>
      <c r="Y150" s="271">
        <f t="shared" si="48"/>
        <v>0</v>
      </c>
      <c r="Z150" s="271">
        <f t="shared" si="48"/>
        <v>0</v>
      </c>
      <c r="AA150" s="271">
        <f t="shared" si="48"/>
        <v>0</v>
      </c>
      <c r="AB150" s="271">
        <f t="shared" si="48"/>
        <v>0</v>
      </c>
      <c r="AC150" s="271">
        <f t="shared" si="48"/>
        <v>0</v>
      </c>
      <c r="AD150" s="271">
        <f t="shared" si="48"/>
        <v>0</v>
      </c>
      <c r="AE150" s="271">
        <f t="shared" si="48"/>
        <v>0</v>
      </c>
      <c r="AF150" s="271">
        <f t="shared" si="48"/>
        <v>0</v>
      </c>
      <c r="AG150" s="271">
        <f t="shared" si="48"/>
        <v>0</v>
      </c>
      <c r="AH150" s="271">
        <f t="shared" si="48"/>
        <v>0</v>
      </c>
      <c r="AI150" s="271">
        <f t="shared" si="48"/>
        <v>0</v>
      </c>
      <c r="AJ150" s="271">
        <f t="shared" si="48"/>
        <v>0</v>
      </c>
    </row>
    <row r="151" spans="2:36" s="29" customFormat="1" ht="16">
      <c r="B151" s="259"/>
      <c r="C151" s="274"/>
      <c r="D151" s="274"/>
      <c r="E151" s="269"/>
      <c r="F151" s="275"/>
      <c r="G151" s="271"/>
      <c r="H151" s="271"/>
      <c r="I151" s="271"/>
      <c r="J151" s="271"/>
      <c r="K151" s="271"/>
      <c r="L151" s="271"/>
      <c r="M151" s="271"/>
      <c r="N151" s="271"/>
      <c r="O151" s="271"/>
      <c r="P151" s="271"/>
      <c r="Q151" s="271"/>
      <c r="R151" s="271"/>
      <c r="S151" s="271"/>
      <c r="T151" s="271"/>
      <c r="U151" s="271"/>
      <c r="V151" s="271"/>
      <c r="W151" s="271"/>
      <c r="X151" s="271"/>
      <c r="Y151" s="271"/>
      <c r="Z151" s="271"/>
      <c r="AA151" s="271"/>
      <c r="AB151" s="271"/>
      <c r="AC151" s="271"/>
      <c r="AD151" s="271"/>
      <c r="AE151" s="271"/>
      <c r="AF151" s="271"/>
      <c r="AG151" s="271"/>
      <c r="AH151" s="271"/>
      <c r="AI151" s="271"/>
      <c r="AJ151" s="271"/>
    </row>
    <row r="152" spans="2:36" s="29" customFormat="1" ht="16">
      <c r="B152" s="259" t="s">
        <v>229</v>
      </c>
      <c r="C152" s="259"/>
      <c r="D152" s="259"/>
      <c r="E152" s="268"/>
      <c r="F152" s="307"/>
      <c r="G152" s="277">
        <f>IF(AND(Inputs!$G$79="Yes",G$2&lt;=Inputs!$G$19),SUM('Cash Flow'!G126:G134)+G141+G144+G147+G150,0)</f>
        <v>2820345.3046875005</v>
      </c>
      <c r="H152" s="277">
        <f>IF(AND(Inputs!$G$79="Yes",H$2&lt;=Inputs!$G$19),SUM('Cash Flow'!H126:H134)+H141+H144+H147+H150,0)</f>
        <v>4519208.1300962502</v>
      </c>
      <c r="I152" s="277">
        <f>IF(AND(Inputs!$G$79="Yes",I$2&lt;=Inputs!$G$19),SUM('Cash Flow'!I126:I134)+I141+I144+I147+I150,0)</f>
        <v>2724363.4622074999</v>
      </c>
      <c r="J152" s="277">
        <f>IF(AND(Inputs!$G$79="Yes",J$2&lt;=Inputs!$G$19),SUM('Cash Flow'!J126:J134)+J141+J144+J147+J150,0)</f>
        <v>1646570.8310387498</v>
      </c>
      <c r="K152" s="277">
        <f>IF(AND(Inputs!$G$79="Yes",K$2&lt;=Inputs!$G$19),SUM('Cash Flow'!K126:K134)+K141+K144+K147+K150,0)</f>
        <v>1644159.668505</v>
      </c>
      <c r="L152" s="277">
        <f>IF(AND(Inputs!$G$79="Yes",L$2&lt;=Inputs!$G$19),SUM('Cash Flow'!L126:L134)+L141+L144+L147+L150,0)</f>
        <v>835596.64163750003</v>
      </c>
      <c r="M152" s="277">
        <f>IF(AND(Inputs!$G$79="Yes",M$2&lt;=Inputs!$G$19),SUM('Cash Flow'!M126:M134)+M141+M144+M147+M150,0)</f>
        <v>27906.339442500001</v>
      </c>
      <c r="N152" s="277">
        <f>IF(AND(Inputs!$G$79="Yes",N$2&lt;=Inputs!$G$19),SUM('Cash Flow'!N126:N134)+N141+N144+N147+N150,0)</f>
        <v>27361.258845</v>
      </c>
      <c r="O152" s="277">
        <f>IF(AND(Inputs!$G$79="Yes",O$2&lt;=Inputs!$G$19),SUM('Cash Flow'!O126:O134)+O141+O144+O147+O150,0)</f>
        <v>27294.240738749999</v>
      </c>
      <c r="P152" s="277">
        <f>IF(AND(Inputs!$G$79="Yes",P$2&lt;=Inputs!$G$19),SUM('Cash Flow'!P126:P134)+P141+P144+P147+P150,0)</f>
        <v>27270.41207875</v>
      </c>
      <c r="Q152" s="277">
        <f>IF(AND(Inputs!$G$79="Yes",Q$2&lt;=Inputs!$G$19),SUM('Cash Flow'!Q126:Q134)+Q141+Q144+Q147+Q150,0)</f>
        <v>27294.240738749999</v>
      </c>
      <c r="R152" s="277">
        <f>IF(AND(Inputs!$G$79="Yes",R$2&lt;=Inputs!$G$19),SUM('Cash Flow'!R126:R134)+R141+R144+R147+R150,0)</f>
        <v>27270.41207875</v>
      </c>
      <c r="S152" s="277">
        <f>IF(AND(Inputs!$G$79="Yes",S$2&lt;=Inputs!$G$19),SUM('Cash Flow'!S126:S134)+S141+S144+S147+S150,0)</f>
        <v>27294.240738749999</v>
      </c>
      <c r="T152" s="277">
        <f>IF(AND(Inputs!$G$79="Yes",T$2&lt;=Inputs!$G$19),SUM('Cash Flow'!T126:T134)+T141+T144+T147+T150,0)</f>
        <v>27270.41207875</v>
      </c>
      <c r="U152" s="277">
        <f>IF(AND(Inputs!$G$79="Yes",U$2&lt;=Inputs!$G$19),SUM('Cash Flow'!U126:U134)+U141+U144+U147+U150,0)</f>
        <v>27294.240738749999</v>
      </c>
      <c r="V152" s="277">
        <f>IF(AND(Inputs!$G$79="Yes",V$2&lt;=Inputs!$G$19),SUM('Cash Flow'!V126:V134)+V141+V144+V147+V150,0)</f>
        <v>20680.298297499998</v>
      </c>
      <c r="W152" s="277">
        <f>IF(AND(Inputs!$G$79="Yes",W$2&lt;=Inputs!$G$19),SUM('Cash Flow'!W126:W134)+W141+W144+W147+W150,0)</f>
        <v>14091.673807499999</v>
      </c>
      <c r="X152" s="277">
        <f>IF(AND(Inputs!$G$79="Yes",X$2&lt;=Inputs!$G$19),SUM('Cash Flow'!X126:X134)+X141+X144+X147+X150,0)</f>
        <v>14090.184516249999</v>
      </c>
      <c r="Y152" s="277">
        <f>IF(AND(Inputs!$G$79="Yes",Y$2&lt;=Inputs!$G$19),SUM('Cash Flow'!Y126:Y134)+Y141+Y144+Y147+Y150,0)</f>
        <v>14091.673807499999</v>
      </c>
      <c r="Z152" s="277">
        <f>IF(AND(Inputs!$G$79="Yes",Z$2&lt;=Inputs!$G$19),SUM('Cash Flow'!Z126:Z134)+Z141+Z144+Z147+Z150,0)</f>
        <v>14090.184516249999</v>
      </c>
      <c r="AA152" s="277">
        <f>IF(AND(Inputs!$G$79="Yes",AA$2&lt;=Inputs!$G$19),SUM('Cash Flow'!AA126:AA134)+AA141+AA144+AA147+AA150,0)</f>
        <v>0</v>
      </c>
      <c r="AB152" s="277">
        <f>IF(AND(Inputs!$G$79="Yes",AB$2&lt;=Inputs!$G$19),SUM('Cash Flow'!AB126:AB134)+AB141+AB144+AB147+AB150,0)</f>
        <v>0</v>
      </c>
      <c r="AC152" s="277">
        <f>IF(AND(Inputs!$G$79="Yes",AC$2&lt;=Inputs!$G$19),SUM('Cash Flow'!AC126:AC134)+AC141+AC144+AC147+AC150,0)</f>
        <v>0</v>
      </c>
      <c r="AD152" s="277">
        <f>IF(AND(Inputs!$G$79="Yes",AD$2&lt;=Inputs!$G$19),SUM('Cash Flow'!AD126:AD134)+AD141+AD144+AD147+AD150,0)</f>
        <v>0</v>
      </c>
      <c r="AE152" s="277">
        <f>IF(AND(Inputs!$G$79="Yes",AE$2&lt;=Inputs!$G$19),SUM('Cash Flow'!AE126:AE134)+AE141+AE144+AE147+AE150,0)</f>
        <v>0</v>
      </c>
      <c r="AF152" s="277">
        <f>IF(AND(Inputs!$G$79="Yes",AF$2&lt;=Inputs!$G$19),SUM('Cash Flow'!AF126:AF134)+AF141+AF144+AF147+AF150,0)</f>
        <v>0</v>
      </c>
      <c r="AG152" s="277">
        <f>IF(AND(Inputs!$G$79="Yes",AG$2&lt;=Inputs!$G$19),SUM('Cash Flow'!AG126:AG134)+AG141+AG144+AG147+AG150,0)</f>
        <v>0</v>
      </c>
      <c r="AH152" s="277">
        <f>IF(AND(Inputs!$G$79="Yes",AH$2&lt;=Inputs!$G$19),SUM('Cash Flow'!AH126:AH134)+AH141+AH144+AH147+AH150,0)</f>
        <v>0</v>
      </c>
      <c r="AI152" s="277">
        <f>IF(AND(Inputs!$G$79="Yes",AI$2&lt;=Inputs!$G$19),SUM('Cash Flow'!AI126:AI134)+AI141+AI144+AI147+AI150,0)</f>
        <v>0</v>
      </c>
      <c r="AJ152" s="277">
        <f>IF(AND(Inputs!$G$79="Yes",AJ$2&lt;=Inputs!$G$19),SUM('Cash Flow'!AJ126:AJ134)+AJ141+AJ144+AJ147+AJ150,0)</f>
        <v>0</v>
      </c>
    </row>
    <row r="153" spans="2:36" s="29" customFormat="1" ht="16">
      <c r="B153" s="259"/>
      <c r="C153" s="259"/>
      <c r="D153" s="259"/>
      <c r="E153" s="268"/>
      <c r="F153" s="307"/>
      <c r="G153" s="277"/>
      <c r="H153" s="277"/>
      <c r="I153" s="277"/>
      <c r="J153" s="277"/>
      <c r="K153" s="277"/>
      <c r="L153" s="277"/>
      <c r="M153" s="277"/>
      <c r="N153" s="277"/>
      <c r="O153" s="277"/>
      <c r="P153" s="277"/>
      <c r="Q153" s="277"/>
      <c r="R153" s="277"/>
      <c r="S153" s="277"/>
      <c r="T153" s="277"/>
      <c r="U153" s="277"/>
      <c r="V153" s="277"/>
      <c r="W153" s="277"/>
      <c r="X153" s="277"/>
      <c r="Y153" s="277"/>
      <c r="Z153" s="277"/>
      <c r="AA153" s="277"/>
      <c r="AB153" s="277"/>
      <c r="AC153" s="277"/>
      <c r="AD153" s="277"/>
      <c r="AE153" s="277"/>
      <c r="AF153" s="277"/>
      <c r="AG153" s="277"/>
      <c r="AH153" s="277"/>
      <c r="AI153" s="277"/>
      <c r="AJ153" s="277"/>
    </row>
    <row r="154" spans="2:36" s="29" customFormat="1" ht="16">
      <c r="B154" s="259" t="s">
        <v>184</v>
      </c>
      <c r="C154" s="259"/>
      <c r="D154" s="259"/>
      <c r="E154" s="268"/>
      <c r="F154" s="307"/>
      <c r="G154" s="279">
        <f>G152*Inputs!$G$84</f>
        <v>1142944.9347246096</v>
      </c>
      <c r="H154" s="279">
        <f>H152*Inputs!$G$84</f>
        <v>1831409.0947215054</v>
      </c>
      <c r="I154" s="279">
        <f>I152*Inputs!$G$84</f>
        <v>1104048.2930595893</v>
      </c>
      <c r="J154" s="279">
        <f>J152*Inputs!$G$84</f>
        <v>667272.82927845337</v>
      </c>
      <c r="K154" s="279">
        <f>K152*Inputs!$G$84</f>
        <v>666295.70566165121</v>
      </c>
      <c r="L154" s="279">
        <f>L152*Inputs!$G$84</f>
        <v>338625.53902359691</v>
      </c>
      <c r="M154" s="279">
        <f>M152*Inputs!$G$84</f>
        <v>11309.044059073125</v>
      </c>
      <c r="N154" s="279">
        <f>N152*Inputs!$G$84</f>
        <v>11088.15014693625</v>
      </c>
      <c r="O154" s="279">
        <f>O152*Inputs!$G$84</f>
        <v>11060.991059378437</v>
      </c>
      <c r="P154" s="279">
        <f>P152*Inputs!$G$84</f>
        <v>11051.334494913437</v>
      </c>
      <c r="Q154" s="279">
        <f>Q152*Inputs!$G$84</f>
        <v>11060.991059378437</v>
      </c>
      <c r="R154" s="279">
        <f>R152*Inputs!$G$84</f>
        <v>11051.334494913437</v>
      </c>
      <c r="S154" s="279">
        <f>S152*Inputs!$G$84</f>
        <v>11060.991059378437</v>
      </c>
      <c r="T154" s="279">
        <f>T152*Inputs!$G$84</f>
        <v>11051.334494913437</v>
      </c>
      <c r="U154" s="279">
        <f>U152*Inputs!$G$84</f>
        <v>11060.991059378437</v>
      </c>
      <c r="V154" s="279">
        <f>V152*Inputs!$G$84</f>
        <v>8380.6908850618747</v>
      </c>
      <c r="W154" s="279">
        <f>W152*Inputs!$G$84</f>
        <v>5710.6508104893746</v>
      </c>
      <c r="X154" s="279">
        <f>X152*Inputs!$G$84</f>
        <v>5710.0472752103124</v>
      </c>
      <c r="Y154" s="279">
        <f>Y152*Inputs!$G$84</f>
        <v>5710.6508104893746</v>
      </c>
      <c r="Z154" s="279">
        <f>Z152*Inputs!$G$84</f>
        <v>5710.0472752103124</v>
      </c>
      <c r="AA154" s="279">
        <f>AA152*Inputs!$G$84</f>
        <v>0</v>
      </c>
      <c r="AB154" s="279">
        <f>AB152*Inputs!$G$84</f>
        <v>0</v>
      </c>
      <c r="AC154" s="279">
        <f>AC152*Inputs!$G$84</f>
        <v>0</v>
      </c>
      <c r="AD154" s="279">
        <f>AD152*Inputs!$G$84</f>
        <v>0</v>
      </c>
      <c r="AE154" s="279">
        <f>AE152*Inputs!$G$84</f>
        <v>0</v>
      </c>
      <c r="AF154" s="279">
        <f>AF152*Inputs!$G$84</f>
        <v>0</v>
      </c>
      <c r="AG154" s="279">
        <f>AG152*Inputs!$G$84</f>
        <v>0</v>
      </c>
      <c r="AH154" s="279">
        <f>AH152*Inputs!$G$84</f>
        <v>0</v>
      </c>
      <c r="AI154" s="279">
        <f>AI152*Inputs!$G$84</f>
        <v>0</v>
      </c>
      <c r="AJ154" s="279">
        <f>AJ152*Inputs!$G$84</f>
        <v>0</v>
      </c>
    </row>
    <row r="155" spans="2:36" s="29" customFormat="1" ht="17" thickBot="1">
      <c r="B155" s="280"/>
      <c r="C155" s="280"/>
      <c r="D155" s="280"/>
      <c r="E155" s="281"/>
      <c r="F155" s="281"/>
      <c r="G155" s="282"/>
      <c r="H155" s="283"/>
      <c r="I155" s="281"/>
      <c r="J155" s="281"/>
      <c r="K155" s="281"/>
      <c r="L155" s="281"/>
      <c r="M155" s="281"/>
      <c r="N155" s="281"/>
      <c r="O155" s="281"/>
      <c r="P155" s="281"/>
      <c r="Q155" s="281"/>
      <c r="R155" s="281"/>
      <c r="S155" s="281"/>
      <c r="T155" s="281"/>
      <c r="U155" s="281"/>
      <c r="V155" s="281"/>
      <c r="W155" s="281"/>
      <c r="X155" s="281"/>
      <c r="Y155" s="281"/>
      <c r="Z155" s="281"/>
      <c r="AA155" s="281"/>
      <c r="AB155" s="281"/>
      <c r="AC155" s="281"/>
      <c r="AD155" s="281"/>
      <c r="AE155" s="281"/>
      <c r="AF155" s="281"/>
      <c r="AG155" s="281"/>
      <c r="AH155" s="281"/>
      <c r="AI155" s="281"/>
      <c r="AJ155" s="281"/>
    </row>
    <row r="156" spans="2:36">
      <c r="B156" s="303"/>
      <c r="C156" s="303"/>
      <c r="D156" s="303"/>
      <c r="E156" s="303"/>
      <c r="F156" s="303"/>
      <c r="G156" s="303"/>
      <c r="H156" s="303"/>
      <c r="I156" s="303"/>
      <c r="J156" s="303"/>
      <c r="K156" s="303"/>
      <c r="L156" s="303"/>
      <c r="M156" s="303"/>
      <c r="N156" s="303"/>
      <c r="O156" s="303"/>
      <c r="P156" s="303"/>
      <c r="Q156" s="303"/>
      <c r="R156" s="303"/>
      <c r="S156" s="303"/>
      <c r="T156" s="303"/>
      <c r="U156" s="303"/>
      <c r="V156" s="303"/>
      <c r="W156" s="303"/>
      <c r="X156" s="303"/>
      <c r="Y156" s="303"/>
      <c r="Z156" s="303"/>
      <c r="AA156" s="303"/>
      <c r="AB156" s="303"/>
      <c r="AC156" s="303"/>
      <c r="AD156" s="303"/>
      <c r="AE156" s="303"/>
      <c r="AF156" s="303"/>
      <c r="AG156" s="303"/>
      <c r="AH156" s="303"/>
      <c r="AI156" s="303"/>
      <c r="AJ156" s="303"/>
    </row>
    <row r="157" spans="2:36" ht="16">
      <c r="B157" s="258" t="s">
        <v>223</v>
      </c>
      <c r="C157" s="258"/>
      <c r="D157" s="258"/>
      <c r="E157" s="303"/>
      <c r="F157" s="303"/>
      <c r="G157" s="303"/>
      <c r="H157" s="303"/>
      <c r="I157" s="303"/>
      <c r="J157" s="303"/>
      <c r="K157" s="303"/>
      <c r="L157" s="303"/>
      <c r="M157" s="303"/>
      <c r="N157" s="303"/>
      <c r="O157" s="303"/>
      <c r="P157" s="303"/>
      <c r="Q157" s="303"/>
      <c r="R157" s="303"/>
      <c r="S157" s="303"/>
      <c r="T157" s="303"/>
      <c r="U157" s="303"/>
      <c r="V157" s="303"/>
      <c r="W157" s="303"/>
      <c r="X157" s="303"/>
      <c r="Y157" s="303"/>
      <c r="Z157" s="303"/>
      <c r="AA157" s="303"/>
      <c r="AB157" s="303"/>
      <c r="AC157" s="303"/>
      <c r="AD157" s="303"/>
      <c r="AE157" s="303"/>
      <c r="AF157" s="303"/>
      <c r="AG157" s="303"/>
      <c r="AH157" s="303"/>
      <c r="AI157" s="303"/>
      <c r="AJ157" s="303"/>
    </row>
    <row r="158" spans="2:36" ht="16">
      <c r="B158" s="259"/>
      <c r="C158" s="259"/>
      <c r="D158" s="259"/>
      <c r="E158" s="303"/>
      <c r="F158" s="303"/>
      <c r="G158" s="303"/>
      <c r="H158" s="303"/>
      <c r="I158" s="303"/>
      <c r="J158" s="303"/>
      <c r="K158" s="303"/>
      <c r="L158" s="303"/>
      <c r="M158" s="303"/>
      <c r="N158" s="303"/>
      <c r="O158" s="303"/>
      <c r="P158" s="303"/>
      <c r="Q158" s="303"/>
      <c r="R158" s="303"/>
      <c r="S158" s="303"/>
      <c r="T158" s="303"/>
      <c r="U158" s="303"/>
      <c r="V158" s="303"/>
      <c r="W158" s="303"/>
      <c r="X158" s="303"/>
      <c r="Y158" s="303"/>
      <c r="Z158" s="303"/>
      <c r="AA158" s="303"/>
      <c r="AB158" s="303"/>
      <c r="AC158" s="303"/>
      <c r="AD158" s="303"/>
      <c r="AE158" s="303"/>
      <c r="AF158" s="303"/>
      <c r="AG158" s="303"/>
      <c r="AH158" s="303"/>
      <c r="AI158" s="303"/>
      <c r="AJ158" s="303"/>
    </row>
    <row r="159" spans="2:36" ht="16">
      <c r="B159" s="259" t="s">
        <v>222</v>
      </c>
      <c r="C159" s="259"/>
      <c r="D159" s="259"/>
      <c r="E159" s="303"/>
      <c r="F159" s="303"/>
      <c r="G159" s="279">
        <f>G68</f>
        <v>-1711502.8844630895</v>
      </c>
      <c r="H159" s="279">
        <f t="shared" ref="H159:AJ159" si="49">H68</f>
        <v>-3436709.8207053179</v>
      </c>
      <c r="I159" s="279">
        <f t="shared" si="49"/>
        <v>-1668156.6691729287</v>
      </c>
      <c r="J159" s="279">
        <f t="shared" si="49"/>
        <v>-616543.08517368103</v>
      </c>
      <c r="K159" s="279">
        <f t="shared" si="49"/>
        <v>-545857.96277731424</v>
      </c>
      <c r="L159" s="279">
        <f t="shared" si="49"/>
        <v>240803.25592376653</v>
      </c>
      <c r="M159" s="279">
        <f t="shared" si="49"/>
        <v>1027079.2695726902</v>
      </c>
      <c r="N159" s="279">
        <f t="shared" si="49"/>
        <v>1006791.2110506165</v>
      </c>
      <c r="O159" s="279">
        <f t="shared" si="49"/>
        <v>986708.39262948697</v>
      </c>
      <c r="P159" s="279">
        <f t="shared" si="49"/>
        <v>1069965.5085983113</v>
      </c>
      <c r="Q159" s="279">
        <f t="shared" si="49"/>
        <v>1055689.6748958316</v>
      </c>
      <c r="R159" s="279">
        <f t="shared" si="49"/>
        <v>1042680.2395098765</v>
      </c>
      <c r="S159" s="279">
        <f t="shared" si="49"/>
        <v>1030992.3013569459</v>
      </c>
      <c r="T159" s="279">
        <f t="shared" si="49"/>
        <v>1017772.5976676912</v>
      </c>
      <c r="U159" s="279">
        <f t="shared" si="49"/>
        <v>1059765.2496165084</v>
      </c>
      <c r="V159" s="279">
        <f t="shared" si="49"/>
        <v>1002262.845649896</v>
      </c>
      <c r="W159" s="279">
        <f t="shared" si="49"/>
        <v>942678.18289672246</v>
      </c>
      <c r="X159" s="279">
        <f t="shared" si="49"/>
        <v>874376.68839861418</v>
      </c>
      <c r="Y159" s="279">
        <f t="shared" si="49"/>
        <v>803867.01746124949</v>
      </c>
      <c r="Z159" s="279">
        <f t="shared" si="49"/>
        <v>844576.71142253105</v>
      </c>
      <c r="AA159" s="279">
        <f t="shared" si="49"/>
        <v>0</v>
      </c>
      <c r="AB159" s="279">
        <f t="shared" si="49"/>
        <v>0</v>
      </c>
      <c r="AC159" s="279">
        <f t="shared" si="49"/>
        <v>0</v>
      </c>
      <c r="AD159" s="279">
        <f t="shared" si="49"/>
        <v>0</v>
      </c>
      <c r="AE159" s="279">
        <f t="shared" si="49"/>
        <v>0</v>
      </c>
      <c r="AF159" s="279">
        <f t="shared" si="49"/>
        <v>0</v>
      </c>
      <c r="AG159" s="279">
        <f t="shared" si="49"/>
        <v>0</v>
      </c>
      <c r="AH159" s="279">
        <f t="shared" si="49"/>
        <v>0</v>
      </c>
      <c r="AI159" s="279">
        <f t="shared" si="49"/>
        <v>0</v>
      </c>
      <c r="AJ159" s="279">
        <f t="shared" si="49"/>
        <v>0</v>
      </c>
    </row>
    <row r="160" spans="2:36" ht="16">
      <c r="B160" s="259"/>
      <c r="C160" s="259"/>
      <c r="D160" s="259"/>
      <c r="E160" s="303"/>
      <c r="F160" s="303"/>
      <c r="G160" s="279"/>
      <c r="H160" s="279"/>
      <c r="I160" s="279"/>
      <c r="J160" s="279"/>
      <c r="K160" s="279"/>
      <c r="L160" s="279"/>
      <c r="M160" s="279"/>
      <c r="N160" s="279"/>
      <c r="O160" s="279"/>
      <c r="P160" s="279"/>
      <c r="Q160" s="279"/>
      <c r="R160" s="279"/>
      <c r="S160" s="279"/>
      <c r="T160" s="279"/>
      <c r="U160" s="279"/>
      <c r="V160" s="279"/>
      <c r="W160" s="279"/>
      <c r="X160" s="279"/>
      <c r="Y160" s="279"/>
      <c r="Z160" s="279"/>
      <c r="AA160" s="279"/>
      <c r="AB160" s="279"/>
      <c r="AC160" s="279"/>
      <c r="AD160" s="279"/>
      <c r="AE160" s="279"/>
      <c r="AF160" s="279"/>
      <c r="AG160" s="279"/>
      <c r="AH160" s="279"/>
      <c r="AI160" s="279"/>
      <c r="AJ160" s="279"/>
    </row>
    <row r="161" spans="2:36" ht="16">
      <c r="B161" s="346" t="s">
        <v>280</v>
      </c>
      <c r="C161" s="346"/>
      <c r="D161" s="346"/>
      <c r="E161" s="303"/>
      <c r="F161" s="303"/>
      <c r="G161" s="279"/>
      <c r="H161" s="279"/>
      <c r="I161" s="279"/>
      <c r="J161" s="279"/>
      <c r="K161" s="279"/>
      <c r="L161" s="279"/>
      <c r="M161" s="279"/>
      <c r="N161" s="279"/>
      <c r="O161" s="279"/>
      <c r="P161" s="279"/>
      <c r="Q161" s="279"/>
      <c r="R161" s="279"/>
      <c r="S161" s="279"/>
      <c r="T161" s="279"/>
      <c r="U161" s="279"/>
      <c r="V161" s="279"/>
      <c r="W161" s="279"/>
      <c r="X161" s="279"/>
      <c r="Y161" s="279"/>
      <c r="Z161" s="279"/>
      <c r="AA161" s="279"/>
      <c r="AB161" s="279"/>
      <c r="AC161" s="279"/>
      <c r="AD161" s="279"/>
      <c r="AE161" s="279"/>
      <c r="AF161" s="279"/>
      <c r="AG161" s="279"/>
      <c r="AH161" s="279"/>
      <c r="AI161" s="279"/>
      <c r="AJ161" s="279"/>
    </row>
    <row r="162" spans="2:36" ht="16">
      <c r="B162" s="259" t="s">
        <v>225</v>
      </c>
      <c r="C162" s="259"/>
      <c r="D162" s="259"/>
      <c r="E162" s="303"/>
      <c r="F162" s="303"/>
      <c r="G162" s="279">
        <v>0</v>
      </c>
      <c r="H162" s="279">
        <f>G165</f>
        <v>1711502.8844630895</v>
      </c>
      <c r="I162" s="279">
        <f t="shared" ref="I162:AJ162" si="50">H165</f>
        <v>5148212.7051684074</v>
      </c>
      <c r="J162" s="279">
        <f t="shared" si="50"/>
        <v>6816369.3743413361</v>
      </c>
      <c r="K162" s="279">
        <f t="shared" si="50"/>
        <v>7432912.4595150175</v>
      </c>
      <c r="L162" s="279">
        <f t="shared" si="50"/>
        <v>7978770.4222923312</v>
      </c>
      <c r="M162" s="279">
        <f t="shared" si="50"/>
        <v>7737967.1663685646</v>
      </c>
      <c r="N162" s="279">
        <f t="shared" si="50"/>
        <v>6710887.8967958745</v>
      </c>
      <c r="O162" s="279">
        <f t="shared" si="50"/>
        <v>5704096.6857452579</v>
      </c>
      <c r="P162" s="279">
        <f t="shared" si="50"/>
        <v>4717388.2931157704</v>
      </c>
      <c r="Q162" s="279">
        <f t="shared" si="50"/>
        <v>3647422.7845174591</v>
      </c>
      <c r="R162" s="279">
        <f t="shared" si="50"/>
        <v>2591733.1096216273</v>
      </c>
      <c r="S162" s="279">
        <f t="shared" si="50"/>
        <v>1549052.8701117509</v>
      </c>
      <c r="T162" s="279">
        <f t="shared" si="50"/>
        <v>518060.56875480502</v>
      </c>
      <c r="U162" s="279">
        <f t="shared" si="50"/>
        <v>0</v>
      </c>
      <c r="V162" s="279">
        <f t="shared" si="50"/>
        <v>0</v>
      </c>
      <c r="W162" s="279">
        <f t="shared" si="50"/>
        <v>0</v>
      </c>
      <c r="X162" s="279">
        <f t="shared" si="50"/>
        <v>0</v>
      </c>
      <c r="Y162" s="279">
        <f t="shared" si="50"/>
        <v>0</v>
      </c>
      <c r="Z162" s="279">
        <f t="shared" si="50"/>
        <v>0</v>
      </c>
      <c r="AA162" s="279">
        <f t="shared" si="50"/>
        <v>0</v>
      </c>
      <c r="AB162" s="279">
        <f t="shared" si="50"/>
        <v>0</v>
      </c>
      <c r="AC162" s="279">
        <f t="shared" si="50"/>
        <v>0</v>
      </c>
      <c r="AD162" s="279">
        <f t="shared" si="50"/>
        <v>0</v>
      </c>
      <c r="AE162" s="279">
        <f t="shared" si="50"/>
        <v>0</v>
      </c>
      <c r="AF162" s="279">
        <f t="shared" si="50"/>
        <v>0</v>
      </c>
      <c r="AG162" s="279">
        <f t="shared" si="50"/>
        <v>0</v>
      </c>
      <c r="AH162" s="279">
        <f t="shared" si="50"/>
        <v>0</v>
      </c>
      <c r="AI162" s="279">
        <f t="shared" si="50"/>
        <v>0</v>
      </c>
      <c r="AJ162" s="279">
        <f t="shared" si="50"/>
        <v>0</v>
      </c>
    </row>
    <row r="163" spans="2:36" ht="16">
      <c r="B163" s="259" t="s">
        <v>226</v>
      </c>
      <c r="C163" s="259"/>
      <c r="D163" s="259"/>
      <c r="E163" s="303"/>
      <c r="F163" s="303"/>
      <c r="G163" s="279">
        <f>IF(G$159&gt;0,0,-G$159)</f>
        <v>1711502.8844630895</v>
      </c>
      <c r="H163" s="279">
        <f t="shared" ref="H163:AJ163" si="51">IF(H$159&gt;0,0,-H$159)</f>
        <v>3436709.8207053179</v>
      </c>
      <c r="I163" s="279">
        <f t="shared" si="51"/>
        <v>1668156.6691729287</v>
      </c>
      <c r="J163" s="279">
        <f t="shared" si="51"/>
        <v>616543.08517368103</v>
      </c>
      <c r="K163" s="279">
        <f t="shared" si="51"/>
        <v>545857.96277731424</v>
      </c>
      <c r="L163" s="279">
        <f t="shared" si="51"/>
        <v>0</v>
      </c>
      <c r="M163" s="279">
        <f t="shared" si="51"/>
        <v>0</v>
      </c>
      <c r="N163" s="279">
        <f t="shared" si="51"/>
        <v>0</v>
      </c>
      <c r="O163" s="279">
        <f t="shared" si="51"/>
        <v>0</v>
      </c>
      <c r="P163" s="279">
        <f t="shared" si="51"/>
        <v>0</v>
      </c>
      <c r="Q163" s="279">
        <f t="shared" si="51"/>
        <v>0</v>
      </c>
      <c r="R163" s="279">
        <f t="shared" si="51"/>
        <v>0</v>
      </c>
      <c r="S163" s="279">
        <f t="shared" si="51"/>
        <v>0</v>
      </c>
      <c r="T163" s="279">
        <f t="shared" si="51"/>
        <v>0</v>
      </c>
      <c r="U163" s="279">
        <f t="shared" si="51"/>
        <v>0</v>
      </c>
      <c r="V163" s="279">
        <f t="shared" si="51"/>
        <v>0</v>
      </c>
      <c r="W163" s="279">
        <f t="shared" si="51"/>
        <v>0</v>
      </c>
      <c r="X163" s="279">
        <f t="shared" si="51"/>
        <v>0</v>
      </c>
      <c r="Y163" s="279">
        <f t="shared" si="51"/>
        <v>0</v>
      </c>
      <c r="Z163" s="279">
        <f t="shared" si="51"/>
        <v>0</v>
      </c>
      <c r="AA163" s="279">
        <f t="shared" si="51"/>
        <v>0</v>
      </c>
      <c r="AB163" s="279">
        <f t="shared" si="51"/>
        <v>0</v>
      </c>
      <c r="AC163" s="279">
        <f t="shared" si="51"/>
        <v>0</v>
      </c>
      <c r="AD163" s="279">
        <f t="shared" si="51"/>
        <v>0</v>
      </c>
      <c r="AE163" s="279">
        <f t="shared" si="51"/>
        <v>0</v>
      </c>
      <c r="AF163" s="279">
        <f t="shared" si="51"/>
        <v>0</v>
      </c>
      <c r="AG163" s="279">
        <f t="shared" si="51"/>
        <v>0</v>
      </c>
      <c r="AH163" s="279">
        <f t="shared" si="51"/>
        <v>0</v>
      </c>
      <c r="AI163" s="279">
        <f t="shared" si="51"/>
        <v>0</v>
      </c>
      <c r="AJ163" s="279">
        <f t="shared" si="51"/>
        <v>0</v>
      </c>
    </row>
    <row r="164" spans="2:36" ht="16">
      <c r="B164" s="259" t="s">
        <v>224</v>
      </c>
      <c r="C164" s="259"/>
      <c r="D164" s="259"/>
      <c r="E164" s="303"/>
      <c r="F164" s="303"/>
      <c r="G164" s="279">
        <f t="shared" ref="G164:L164" si="52">IF(G$159&lt;=0,0,-MIN(G$159,F$165))</f>
        <v>0</v>
      </c>
      <c r="H164" s="279">
        <f t="shared" si="52"/>
        <v>0</v>
      </c>
      <c r="I164" s="279">
        <f t="shared" si="52"/>
        <v>0</v>
      </c>
      <c r="J164" s="279">
        <f t="shared" si="52"/>
        <v>0</v>
      </c>
      <c r="K164" s="279">
        <f t="shared" si="52"/>
        <v>0</v>
      </c>
      <c r="L164" s="279">
        <f t="shared" si="52"/>
        <v>-240803.25592376653</v>
      </c>
      <c r="M164" s="279">
        <f>IF(M$159&lt;=0,0,-MIN(M$159,L$165))</f>
        <v>-1027079.2695726902</v>
      </c>
      <c r="N164" s="279">
        <f t="shared" ref="N164:AJ164" si="53">IF(N$159&lt;=0,0,-MIN(N$159,M$165))</f>
        <v>-1006791.2110506165</v>
      </c>
      <c r="O164" s="279">
        <f t="shared" si="53"/>
        <v>-986708.39262948697</v>
      </c>
      <c r="P164" s="279">
        <f t="shared" si="53"/>
        <v>-1069965.5085983113</v>
      </c>
      <c r="Q164" s="279">
        <f t="shared" si="53"/>
        <v>-1055689.6748958316</v>
      </c>
      <c r="R164" s="279">
        <f t="shared" si="53"/>
        <v>-1042680.2395098765</v>
      </c>
      <c r="S164" s="279">
        <f t="shared" si="53"/>
        <v>-1030992.3013569459</v>
      </c>
      <c r="T164" s="279">
        <f t="shared" si="53"/>
        <v>-518060.56875480502</v>
      </c>
      <c r="U164" s="279">
        <f t="shared" si="53"/>
        <v>0</v>
      </c>
      <c r="V164" s="279">
        <f t="shared" si="53"/>
        <v>0</v>
      </c>
      <c r="W164" s="279">
        <f t="shared" si="53"/>
        <v>0</v>
      </c>
      <c r="X164" s="279">
        <f t="shared" si="53"/>
        <v>0</v>
      </c>
      <c r="Y164" s="279">
        <f t="shared" si="53"/>
        <v>0</v>
      </c>
      <c r="Z164" s="279">
        <f t="shared" si="53"/>
        <v>0</v>
      </c>
      <c r="AA164" s="279">
        <f t="shared" si="53"/>
        <v>0</v>
      </c>
      <c r="AB164" s="279">
        <f t="shared" si="53"/>
        <v>0</v>
      </c>
      <c r="AC164" s="279">
        <f t="shared" si="53"/>
        <v>0</v>
      </c>
      <c r="AD164" s="279">
        <f t="shared" si="53"/>
        <v>0</v>
      </c>
      <c r="AE164" s="279">
        <f t="shared" si="53"/>
        <v>0</v>
      </c>
      <c r="AF164" s="279">
        <f t="shared" si="53"/>
        <v>0</v>
      </c>
      <c r="AG164" s="279">
        <f t="shared" si="53"/>
        <v>0</v>
      </c>
      <c r="AH164" s="279">
        <f t="shared" si="53"/>
        <v>0</v>
      </c>
      <c r="AI164" s="279">
        <f t="shared" si="53"/>
        <v>0</v>
      </c>
      <c r="AJ164" s="279">
        <f t="shared" si="53"/>
        <v>0</v>
      </c>
    </row>
    <row r="165" spans="2:36" ht="16">
      <c r="B165" s="259" t="s">
        <v>227</v>
      </c>
      <c r="C165" s="259"/>
      <c r="D165" s="259"/>
      <c r="E165" s="303"/>
      <c r="F165" s="303"/>
      <c r="G165" s="279">
        <f>SUM(G162:G164)</f>
        <v>1711502.8844630895</v>
      </c>
      <c r="H165" s="279">
        <f t="shared" ref="H165:AJ165" si="54">SUM(H162:H164)</f>
        <v>5148212.7051684074</v>
      </c>
      <c r="I165" s="279">
        <f t="shared" si="54"/>
        <v>6816369.3743413361</v>
      </c>
      <c r="J165" s="279">
        <f t="shared" si="54"/>
        <v>7432912.4595150175</v>
      </c>
      <c r="K165" s="279">
        <f t="shared" si="54"/>
        <v>7978770.4222923312</v>
      </c>
      <c r="L165" s="279">
        <f t="shared" si="54"/>
        <v>7737967.1663685646</v>
      </c>
      <c r="M165" s="279">
        <f t="shared" si="54"/>
        <v>6710887.8967958745</v>
      </c>
      <c r="N165" s="279">
        <f t="shared" si="54"/>
        <v>5704096.6857452579</v>
      </c>
      <c r="O165" s="279">
        <f t="shared" si="54"/>
        <v>4717388.2931157704</v>
      </c>
      <c r="P165" s="279">
        <f t="shared" si="54"/>
        <v>3647422.7845174591</v>
      </c>
      <c r="Q165" s="279">
        <f t="shared" si="54"/>
        <v>2591733.1096216273</v>
      </c>
      <c r="R165" s="279">
        <f t="shared" si="54"/>
        <v>1549052.8701117509</v>
      </c>
      <c r="S165" s="279">
        <f t="shared" si="54"/>
        <v>518060.56875480502</v>
      </c>
      <c r="T165" s="279">
        <f t="shared" si="54"/>
        <v>0</v>
      </c>
      <c r="U165" s="279">
        <f t="shared" si="54"/>
        <v>0</v>
      </c>
      <c r="V165" s="279">
        <f t="shared" si="54"/>
        <v>0</v>
      </c>
      <c r="W165" s="279">
        <f t="shared" si="54"/>
        <v>0</v>
      </c>
      <c r="X165" s="279">
        <f t="shared" si="54"/>
        <v>0</v>
      </c>
      <c r="Y165" s="279">
        <f t="shared" si="54"/>
        <v>0</v>
      </c>
      <c r="Z165" s="279">
        <f t="shared" si="54"/>
        <v>0</v>
      </c>
      <c r="AA165" s="279">
        <f t="shared" si="54"/>
        <v>0</v>
      </c>
      <c r="AB165" s="279">
        <f t="shared" si="54"/>
        <v>0</v>
      </c>
      <c r="AC165" s="279">
        <f t="shared" si="54"/>
        <v>0</v>
      </c>
      <c r="AD165" s="279">
        <f t="shared" si="54"/>
        <v>0</v>
      </c>
      <c r="AE165" s="279">
        <f t="shared" si="54"/>
        <v>0</v>
      </c>
      <c r="AF165" s="279">
        <f t="shared" si="54"/>
        <v>0</v>
      </c>
      <c r="AG165" s="279">
        <f t="shared" si="54"/>
        <v>0</v>
      </c>
      <c r="AH165" s="279">
        <f t="shared" si="54"/>
        <v>0</v>
      </c>
      <c r="AI165" s="279">
        <f t="shared" si="54"/>
        <v>0</v>
      </c>
      <c r="AJ165" s="279">
        <f t="shared" si="54"/>
        <v>0</v>
      </c>
    </row>
    <row r="166" spans="2:36" ht="16">
      <c r="B166" s="259"/>
      <c r="C166" s="259"/>
      <c r="D166" s="259"/>
      <c r="E166" s="303"/>
      <c r="F166" s="303"/>
      <c r="G166" s="303"/>
      <c r="H166" s="303"/>
      <c r="I166" s="303"/>
      <c r="J166" s="303"/>
      <c r="K166" s="303"/>
      <c r="L166" s="303"/>
      <c r="M166" s="303"/>
      <c r="N166" s="303"/>
      <c r="O166" s="303"/>
      <c r="P166" s="303"/>
      <c r="Q166" s="303"/>
      <c r="R166" s="303"/>
      <c r="S166" s="303"/>
      <c r="T166" s="303"/>
      <c r="U166" s="303"/>
      <c r="V166" s="303"/>
      <c r="W166" s="303"/>
      <c r="X166" s="303"/>
      <c r="Y166" s="303"/>
      <c r="Z166" s="303"/>
      <c r="AA166" s="303"/>
      <c r="AB166" s="303"/>
      <c r="AC166" s="303"/>
      <c r="AD166" s="303"/>
      <c r="AE166" s="303"/>
      <c r="AF166" s="303"/>
      <c r="AG166" s="303"/>
      <c r="AH166" s="303"/>
      <c r="AI166" s="303"/>
      <c r="AJ166" s="303"/>
    </row>
    <row r="167" spans="2:36" ht="16">
      <c r="B167" s="259" t="s">
        <v>228</v>
      </c>
      <c r="C167" s="259"/>
      <c r="D167" s="259"/>
      <c r="E167" s="303"/>
      <c r="F167" s="303"/>
      <c r="G167" s="279">
        <f>G159+G163+G164</f>
        <v>0</v>
      </c>
      <c r="H167" s="279">
        <f t="shared" ref="H167:AJ167" si="55">H159+H163+H164</f>
        <v>0</v>
      </c>
      <c r="I167" s="279">
        <f t="shared" si="55"/>
        <v>0</v>
      </c>
      <c r="J167" s="279">
        <f t="shared" si="55"/>
        <v>0</v>
      </c>
      <c r="K167" s="279">
        <f t="shared" si="55"/>
        <v>0</v>
      </c>
      <c r="L167" s="279">
        <f t="shared" si="55"/>
        <v>0</v>
      </c>
      <c r="M167" s="279">
        <f t="shared" si="55"/>
        <v>0</v>
      </c>
      <c r="N167" s="279">
        <f t="shared" si="55"/>
        <v>0</v>
      </c>
      <c r="O167" s="279">
        <f t="shared" si="55"/>
        <v>0</v>
      </c>
      <c r="P167" s="279">
        <f t="shared" si="55"/>
        <v>0</v>
      </c>
      <c r="Q167" s="279">
        <f t="shared" si="55"/>
        <v>0</v>
      </c>
      <c r="R167" s="279">
        <f t="shared" si="55"/>
        <v>0</v>
      </c>
      <c r="S167" s="279">
        <f t="shared" si="55"/>
        <v>0</v>
      </c>
      <c r="T167" s="279">
        <f t="shared" si="55"/>
        <v>499712.02891288616</v>
      </c>
      <c r="U167" s="279">
        <f t="shared" si="55"/>
        <v>1059765.2496165084</v>
      </c>
      <c r="V167" s="279">
        <f t="shared" si="55"/>
        <v>1002262.845649896</v>
      </c>
      <c r="W167" s="279">
        <f t="shared" si="55"/>
        <v>942678.18289672246</v>
      </c>
      <c r="X167" s="279">
        <f t="shared" si="55"/>
        <v>874376.68839861418</v>
      </c>
      <c r="Y167" s="279">
        <f t="shared" si="55"/>
        <v>803867.01746124949</v>
      </c>
      <c r="Z167" s="279">
        <f t="shared" si="55"/>
        <v>844576.71142253105</v>
      </c>
      <c r="AA167" s="279">
        <f t="shared" si="55"/>
        <v>0</v>
      </c>
      <c r="AB167" s="279">
        <f t="shared" si="55"/>
        <v>0</v>
      </c>
      <c r="AC167" s="279">
        <f t="shared" si="55"/>
        <v>0</v>
      </c>
      <c r="AD167" s="279">
        <f t="shared" si="55"/>
        <v>0</v>
      </c>
      <c r="AE167" s="279">
        <f t="shared" si="55"/>
        <v>0</v>
      </c>
      <c r="AF167" s="279">
        <f t="shared" si="55"/>
        <v>0</v>
      </c>
      <c r="AG167" s="279">
        <f t="shared" si="55"/>
        <v>0</v>
      </c>
      <c r="AH167" s="279">
        <f t="shared" si="55"/>
        <v>0</v>
      </c>
      <c r="AI167" s="279">
        <f t="shared" si="55"/>
        <v>0</v>
      </c>
      <c r="AJ167" s="279">
        <f t="shared" si="55"/>
        <v>0</v>
      </c>
    </row>
    <row r="168" spans="2:36" ht="16">
      <c r="B168" s="259"/>
      <c r="C168" s="259"/>
      <c r="D168" s="259"/>
      <c r="E168" s="303"/>
      <c r="F168" s="303"/>
      <c r="G168" s="279"/>
      <c r="H168" s="279"/>
      <c r="I168" s="279"/>
      <c r="J168" s="279"/>
      <c r="K168" s="279"/>
      <c r="L168" s="279"/>
      <c r="M168" s="279"/>
      <c r="N168" s="279"/>
      <c r="O168" s="279"/>
      <c r="P168" s="279"/>
      <c r="Q168" s="279"/>
      <c r="R168" s="279"/>
      <c r="S168" s="279"/>
      <c r="T168" s="279"/>
      <c r="U168" s="279"/>
      <c r="V168" s="279"/>
      <c r="W168" s="279"/>
      <c r="X168" s="279"/>
      <c r="Y168" s="279"/>
      <c r="Z168" s="279"/>
      <c r="AA168" s="279"/>
      <c r="AB168" s="279"/>
      <c r="AC168" s="279"/>
      <c r="AD168" s="279"/>
      <c r="AE168" s="279"/>
      <c r="AF168" s="279"/>
      <c r="AG168" s="279"/>
      <c r="AH168" s="279"/>
      <c r="AI168" s="279"/>
      <c r="AJ168" s="279"/>
    </row>
    <row r="169" spans="2:36" ht="16">
      <c r="B169" s="346" t="s">
        <v>281</v>
      </c>
      <c r="C169" s="346"/>
      <c r="D169" s="346"/>
      <c r="E169" s="303"/>
      <c r="F169" s="303"/>
      <c r="G169" s="279"/>
      <c r="H169" s="279"/>
      <c r="I169" s="279"/>
      <c r="J169" s="279"/>
      <c r="K169" s="279"/>
      <c r="L169" s="279"/>
      <c r="M169" s="279"/>
      <c r="N169" s="279"/>
      <c r="O169" s="279"/>
      <c r="P169" s="279"/>
      <c r="Q169" s="279"/>
      <c r="R169" s="279"/>
      <c r="S169" s="279"/>
      <c r="T169" s="279"/>
      <c r="U169" s="279"/>
      <c r="V169" s="279"/>
      <c r="W169" s="279"/>
      <c r="X169" s="279"/>
      <c r="Y169" s="279"/>
      <c r="Z169" s="279"/>
      <c r="AA169" s="279"/>
      <c r="AB169" s="279"/>
      <c r="AC169" s="279"/>
      <c r="AD169" s="279"/>
      <c r="AE169" s="279"/>
      <c r="AF169" s="279"/>
      <c r="AG169" s="279"/>
      <c r="AH169" s="279"/>
      <c r="AI169" s="279"/>
      <c r="AJ169" s="279"/>
    </row>
    <row r="170" spans="2:36" ht="16">
      <c r="B170" s="259" t="s">
        <v>225</v>
      </c>
      <c r="C170" s="259"/>
      <c r="D170" s="259"/>
      <c r="E170" s="303"/>
      <c r="F170" s="303"/>
      <c r="G170" s="279">
        <v>0</v>
      </c>
      <c r="H170" s="279">
        <f>G173</f>
        <v>1711502.8844630895</v>
      </c>
      <c r="I170" s="279">
        <f t="shared" ref="I170:AJ170" si="56">H173</f>
        <v>5148212.7051684074</v>
      </c>
      <c r="J170" s="279">
        <f t="shared" si="56"/>
        <v>6816369.3743413361</v>
      </c>
      <c r="K170" s="279">
        <f t="shared" si="56"/>
        <v>7432912.4595150175</v>
      </c>
      <c r="L170" s="279">
        <f t="shared" si="56"/>
        <v>7978770.4222923312</v>
      </c>
      <c r="M170" s="279">
        <f t="shared" si="56"/>
        <v>7737967.1663685646</v>
      </c>
      <c r="N170" s="279">
        <f t="shared" si="56"/>
        <v>6710887.8967958745</v>
      </c>
      <c r="O170" s="279">
        <f t="shared" si="56"/>
        <v>5704096.6857452579</v>
      </c>
      <c r="P170" s="279">
        <f t="shared" si="56"/>
        <v>4717388.2931157704</v>
      </c>
      <c r="Q170" s="279">
        <f t="shared" si="56"/>
        <v>3647422.7845174591</v>
      </c>
      <c r="R170" s="279">
        <f t="shared" si="56"/>
        <v>2591733.1096216273</v>
      </c>
      <c r="S170" s="279">
        <f t="shared" si="56"/>
        <v>1549052.8701117509</v>
      </c>
      <c r="T170" s="279">
        <f t="shared" si="56"/>
        <v>518060.56875480502</v>
      </c>
      <c r="U170" s="279">
        <f t="shared" si="56"/>
        <v>0</v>
      </c>
      <c r="V170" s="279">
        <f t="shared" si="56"/>
        <v>0</v>
      </c>
      <c r="W170" s="279">
        <f t="shared" si="56"/>
        <v>0</v>
      </c>
      <c r="X170" s="279">
        <f t="shared" si="56"/>
        <v>0</v>
      </c>
      <c r="Y170" s="279">
        <f t="shared" si="56"/>
        <v>0</v>
      </c>
      <c r="Z170" s="279">
        <f t="shared" si="56"/>
        <v>0</v>
      </c>
      <c r="AA170" s="279">
        <f t="shared" si="56"/>
        <v>0</v>
      </c>
      <c r="AB170" s="279">
        <f t="shared" si="56"/>
        <v>0</v>
      </c>
      <c r="AC170" s="279">
        <f t="shared" si="56"/>
        <v>0</v>
      </c>
      <c r="AD170" s="279">
        <f t="shared" si="56"/>
        <v>0</v>
      </c>
      <c r="AE170" s="279">
        <f t="shared" si="56"/>
        <v>0</v>
      </c>
      <c r="AF170" s="279">
        <f t="shared" si="56"/>
        <v>0</v>
      </c>
      <c r="AG170" s="279">
        <f t="shared" si="56"/>
        <v>0</v>
      </c>
      <c r="AH170" s="279">
        <f t="shared" si="56"/>
        <v>0</v>
      </c>
      <c r="AI170" s="279">
        <f t="shared" si="56"/>
        <v>0</v>
      </c>
      <c r="AJ170" s="279">
        <f t="shared" si="56"/>
        <v>0</v>
      </c>
    </row>
    <row r="171" spans="2:36" ht="16">
      <c r="B171" s="259" t="s">
        <v>226</v>
      </c>
      <c r="C171" s="259"/>
      <c r="D171" s="259"/>
      <c r="E171" s="303"/>
      <c r="F171" s="303"/>
      <c r="G171" s="279">
        <f>IF(G$159&gt;0,0,-G$159)</f>
        <v>1711502.8844630895</v>
      </c>
      <c r="H171" s="279">
        <f t="shared" ref="H171:AJ171" si="57">IF(H$159&gt;0,0,-H$159)</f>
        <v>3436709.8207053179</v>
      </c>
      <c r="I171" s="279">
        <f t="shared" si="57"/>
        <v>1668156.6691729287</v>
      </c>
      <c r="J171" s="279">
        <f t="shared" si="57"/>
        <v>616543.08517368103</v>
      </c>
      <c r="K171" s="279">
        <f t="shared" si="57"/>
        <v>545857.96277731424</v>
      </c>
      <c r="L171" s="279">
        <f t="shared" si="57"/>
        <v>0</v>
      </c>
      <c r="M171" s="279">
        <f t="shared" si="57"/>
        <v>0</v>
      </c>
      <c r="N171" s="279">
        <f t="shared" si="57"/>
        <v>0</v>
      </c>
      <c r="O171" s="279">
        <f t="shared" si="57"/>
        <v>0</v>
      </c>
      <c r="P171" s="279">
        <f t="shared" si="57"/>
        <v>0</v>
      </c>
      <c r="Q171" s="279">
        <f t="shared" si="57"/>
        <v>0</v>
      </c>
      <c r="R171" s="279">
        <f t="shared" si="57"/>
        <v>0</v>
      </c>
      <c r="S171" s="279">
        <f t="shared" si="57"/>
        <v>0</v>
      </c>
      <c r="T171" s="279">
        <f t="shared" si="57"/>
        <v>0</v>
      </c>
      <c r="U171" s="279">
        <f t="shared" si="57"/>
        <v>0</v>
      </c>
      <c r="V171" s="279">
        <f t="shared" si="57"/>
        <v>0</v>
      </c>
      <c r="W171" s="279">
        <f t="shared" si="57"/>
        <v>0</v>
      </c>
      <c r="X171" s="279">
        <f t="shared" si="57"/>
        <v>0</v>
      </c>
      <c r="Y171" s="279">
        <f t="shared" si="57"/>
        <v>0</v>
      </c>
      <c r="Z171" s="279">
        <f t="shared" si="57"/>
        <v>0</v>
      </c>
      <c r="AA171" s="279">
        <f t="shared" si="57"/>
        <v>0</v>
      </c>
      <c r="AB171" s="279">
        <f t="shared" si="57"/>
        <v>0</v>
      </c>
      <c r="AC171" s="279">
        <f t="shared" si="57"/>
        <v>0</v>
      </c>
      <c r="AD171" s="279">
        <f t="shared" si="57"/>
        <v>0</v>
      </c>
      <c r="AE171" s="279">
        <f t="shared" si="57"/>
        <v>0</v>
      </c>
      <c r="AF171" s="279">
        <f t="shared" si="57"/>
        <v>0</v>
      </c>
      <c r="AG171" s="279">
        <f t="shared" si="57"/>
        <v>0</v>
      </c>
      <c r="AH171" s="279">
        <f t="shared" si="57"/>
        <v>0</v>
      </c>
      <c r="AI171" s="279">
        <f t="shared" si="57"/>
        <v>0</v>
      </c>
      <c r="AJ171" s="279">
        <f t="shared" si="57"/>
        <v>0</v>
      </c>
    </row>
    <row r="172" spans="2:36" ht="16">
      <c r="B172" s="259" t="s">
        <v>224</v>
      </c>
      <c r="C172" s="259"/>
      <c r="D172" s="259"/>
      <c r="E172" s="303"/>
      <c r="F172" s="303"/>
      <c r="G172" s="279">
        <f t="shared" ref="G172:AJ172" si="58">IF(G$159&lt;=0,0,-MIN(G$159,F$165))</f>
        <v>0</v>
      </c>
      <c r="H172" s="279">
        <f t="shared" si="58"/>
        <v>0</v>
      </c>
      <c r="I172" s="279">
        <f t="shared" si="58"/>
        <v>0</v>
      </c>
      <c r="J172" s="279">
        <f t="shared" si="58"/>
        <v>0</v>
      </c>
      <c r="K172" s="279">
        <f t="shared" si="58"/>
        <v>0</v>
      </c>
      <c r="L172" s="279">
        <f t="shared" si="58"/>
        <v>-240803.25592376653</v>
      </c>
      <c r="M172" s="279">
        <f t="shared" si="58"/>
        <v>-1027079.2695726902</v>
      </c>
      <c r="N172" s="279">
        <f t="shared" si="58"/>
        <v>-1006791.2110506165</v>
      </c>
      <c r="O172" s="279">
        <f t="shared" si="58"/>
        <v>-986708.39262948697</v>
      </c>
      <c r="P172" s="279">
        <f t="shared" si="58"/>
        <v>-1069965.5085983113</v>
      </c>
      <c r="Q172" s="279">
        <f t="shared" si="58"/>
        <v>-1055689.6748958316</v>
      </c>
      <c r="R172" s="279">
        <f t="shared" si="58"/>
        <v>-1042680.2395098765</v>
      </c>
      <c r="S172" s="279">
        <f t="shared" si="58"/>
        <v>-1030992.3013569459</v>
      </c>
      <c r="T172" s="279">
        <f t="shared" si="58"/>
        <v>-518060.56875480502</v>
      </c>
      <c r="U172" s="279">
        <f t="shared" si="58"/>
        <v>0</v>
      </c>
      <c r="V172" s="279">
        <f t="shared" si="58"/>
        <v>0</v>
      </c>
      <c r="W172" s="279">
        <f t="shared" si="58"/>
        <v>0</v>
      </c>
      <c r="X172" s="279">
        <f t="shared" si="58"/>
        <v>0</v>
      </c>
      <c r="Y172" s="279">
        <f t="shared" si="58"/>
        <v>0</v>
      </c>
      <c r="Z172" s="279">
        <f t="shared" si="58"/>
        <v>0</v>
      </c>
      <c r="AA172" s="279">
        <f t="shared" si="58"/>
        <v>0</v>
      </c>
      <c r="AB172" s="279">
        <f t="shared" si="58"/>
        <v>0</v>
      </c>
      <c r="AC172" s="279">
        <f t="shared" si="58"/>
        <v>0</v>
      </c>
      <c r="AD172" s="279">
        <f t="shared" si="58"/>
        <v>0</v>
      </c>
      <c r="AE172" s="279">
        <f t="shared" si="58"/>
        <v>0</v>
      </c>
      <c r="AF172" s="279">
        <f t="shared" si="58"/>
        <v>0</v>
      </c>
      <c r="AG172" s="279">
        <f t="shared" si="58"/>
        <v>0</v>
      </c>
      <c r="AH172" s="279">
        <f t="shared" si="58"/>
        <v>0</v>
      </c>
      <c r="AI172" s="279">
        <f t="shared" si="58"/>
        <v>0</v>
      </c>
      <c r="AJ172" s="279">
        <f t="shared" si="58"/>
        <v>0</v>
      </c>
    </row>
    <row r="173" spans="2:36" ht="16">
      <c r="B173" s="259" t="s">
        <v>227</v>
      </c>
      <c r="C173" s="259"/>
      <c r="D173" s="259"/>
      <c r="E173" s="303"/>
      <c r="F173" s="303"/>
      <c r="G173" s="279">
        <f>SUM(G170:G172)</f>
        <v>1711502.8844630895</v>
      </c>
      <c r="H173" s="279">
        <f t="shared" ref="H173:AJ173" si="59">SUM(H170:H172)</f>
        <v>5148212.7051684074</v>
      </c>
      <c r="I173" s="279">
        <f t="shared" si="59"/>
        <v>6816369.3743413361</v>
      </c>
      <c r="J173" s="279">
        <f t="shared" si="59"/>
        <v>7432912.4595150175</v>
      </c>
      <c r="K173" s="279">
        <f t="shared" si="59"/>
        <v>7978770.4222923312</v>
      </c>
      <c r="L173" s="279">
        <f t="shared" si="59"/>
        <v>7737967.1663685646</v>
      </c>
      <c r="M173" s="279">
        <f t="shared" si="59"/>
        <v>6710887.8967958745</v>
      </c>
      <c r="N173" s="279">
        <f t="shared" si="59"/>
        <v>5704096.6857452579</v>
      </c>
      <c r="O173" s="279">
        <f t="shared" si="59"/>
        <v>4717388.2931157704</v>
      </c>
      <c r="P173" s="279">
        <f t="shared" si="59"/>
        <v>3647422.7845174591</v>
      </c>
      <c r="Q173" s="279">
        <f t="shared" si="59"/>
        <v>2591733.1096216273</v>
      </c>
      <c r="R173" s="279">
        <f t="shared" si="59"/>
        <v>1549052.8701117509</v>
      </c>
      <c r="S173" s="279">
        <f t="shared" si="59"/>
        <v>518060.56875480502</v>
      </c>
      <c r="T173" s="279">
        <f t="shared" si="59"/>
        <v>0</v>
      </c>
      <c r="U173" s="279">
        <f t="shared" si="59"/>
        <v>0</v>
      </c>
      <c r="V173" s="279">
        <f t="shared" si="59"/>
        <v>0</v>
      </c>
      <c r="W173" s="279">
        <f t="shared" si="59"/>
        <v>0</v>
      </c>
      <c r="X173" s="279">
        <f t="shared" si="59"/>
        <v>0</v>
      </c>
      <c r="Y173" s="279">
        <f t="shared" si="59"/>
        <v>0</v>
      </c>
      <c r="Z173" s="279">
        <f t="shared" si="59"/>
        <v>0</v>
      </c>
      <c r="AA173" s="279">
        <f t="shared" si="59"/>
        <v>0</v>
      </c>
      <c r="AB173" s="279">
        <f t="shared" si="59"/>
        <v>0</v>
      </c>
      <c r="AC173" s="279">
        <f t="shared" si="59"/>
        <v>0</v>
      </c>
      <c r="AD173" s="279">
        <f t="shared" si="59"/>
        <v>0</v>
      </c>
      <c r="AE173" s="279">
        <f t="shared" si="59"/>
        <v>0</v>
      </c>
      <c r="AF173" s="279">
        <f t="shared" si="59"/>
        <v>0</v>
      </c>
      <c r="AG173" s="279">
        <f t="shared" si="59"/>
        <v>0</v>
      </c>
      <c r="AH173" s="279">
        <f t="shared" si="59"/>
        <v>0</v>
      </c>
      <c r="AI173" s="279">
        <f t="shared" si="59"/>
        <v>0</v>
      </c>
      <c r="AJ173" s="279">
        <f t="shared" si="59"/>
        <v>0</v>
      </c>
    </row>
    <row r="174" spans="2:36" ht="16">
      <c r="B174" s="259"/>
      <c r="C174" s="259"/>
      <c r="D174" s="259"/>
      <c r="E174" s="303"/>
      <c r="F174" s="303"/>
      <c r="G174" s="303"/>
      <c r="H174" s="303"/>
      <c r="I174" s="303"/>
      <c r="J174" s="303"/>
      <c r="K174" s="303"/>
      <c r="L174" s="303"/>
      <c r="M174" s="303"/>
      <c r="N174" s="303"/>
      <c r="O174" s="303"/>
      <c r="P174" s="303"/>
      <c r="Q174" s="303"/>
      <c r="R174" s="303"/>
      <c r="S174" s="303"/>
      <c r="T174" s="303"/>
      <c r="U174" s="303"/>
      <c r="V174" s="303"/>
      <c r="W174" s="303"/>
      <c r="X174" s="303"/>
      <c r="Y174" s="303"/>
      <c r="Z174" s="303"/>
      <c r="AA174" s="303"/>
      <c r="AB174" s="303"/>
      <c r="AC174" s="303"/>
      <c r="AD174" s="303"/>
      <c r="AE174" s="303"/>
      <c r="AF174" s="303"/>
      <c r="AG174" s="303"/>
      <c r="AH174" s="303"/>
      <c r="AI174" s="303"/>
      <c r="AJ174" s="303"/>
    </row>
    <row r="175" spans="2:36" ht="16">
      <c r="B175" s="259" t="s">
        <v>228</v>
      </c>
      <c r="C175" s="259"/>
      <c r="D175" s="259"/>
      <c r="E175" s="303"/>
      <c r="F175" s="303"/>
      <c r="G175" s="279">
        <f>G159+G171+G172</f>
        <v>0</v>
      </c>
      <c r="H175" s="279">
        <f t="shared" ref="H175:AJ175" si="60">H159+H171+H172</f>
        <v>0</v>
      </c>
      <c r="I175" s="279">
        <f t="shared" si="60"/>
        <v>0</v>
      </c>
      <c r="J175" s="279">
        <f t="shared" si="60"/>
        <v>0</v>
      </c>
      <c r="K175" s="279">
        <f t="shared" si="60"/>
        <v>0</v>
      </c>
      <c r="L175" s="279">
        <f t="shared" si="60"/>
        <v>0</v>
      </c>
      <c r="M175" s="279">
        <f t="shared" si="60"/>
        <v>0</v>
      </c>
      <c r="N175" s="279">
        <f t="shared" si="60"/>
        <v>0</v>
      </c>
      <c r="O175" s="279">
        <f t="shared" si="60"/>
        <v>0</v>
      </c>
      <c r="P175" s="279">
        <f t="shared" si="60"/>
        <v>0</v>
      </c>
      <c r="Q175" s="279">
        <f t="shared" si="60"/>
        <v>0</v>
      </c>
      <c r="R175" s="279">
        <f t="shared" si="60"/>
        <v>0</v>
      </c>
      <c r="S175" s="279">
        <f t="shared" si="60"/>
        <v>0</v>
      </c>
      <c r="T175" s="279">
        <f t="shared" si="60"/>
        <v>499712.02891288616</v>
      </c>
      <c r="U175" s="279">
        <f t="shared" si="60"/>
        <v>1059765.2496165084</v>
      </c>
      <c r="V175" s="279">
        <f t="shared" si="60"/>
        <v>1002262.845649896</v>
      </c>
      <c r="W175" s="279">
        <f t="shared" si="60"/>
        <v>942678.18289672246</v>
      </c>
      <c r="X175" s="279">
        <f t="shared" si="60"/>
        <v>874376.68839861418</v>
      </c>
      <c r="Y175" s="279">
        <f t="shared" si="60"/>
        <v>803867.01746124949</v>
      </c>
      <c r="Z175" s="279">
        <f t="shared" si="60"/>
        <v>844576.71142253105</v>
      </c>
      <c r="AA175" s="279">
        <f t="shared" si="60"/>
        <v>0</v>
      </c>
      <c r="AB175" s="279">
        <f t="shared" si="60"/>
        <v>0</v>
      </c>
      <c r="AC175" s="279">
        <f t="shared" si="60"/>
        <v>0</v>
      </c>
      <c r="AD175" s="279">
        <f t="shared" si="60"/>
        <v>0</v>
      </c>
      <c r="AE175" s="279">
        <f t="shared" si="60"/>
        <v>0</v>
      </c>
      <c r="AF175" s="279">
        <f t="shared" si="60"/>
        <v>0</v>
      </c>
      <c r="AG175" s="279">
        <f t="shared" si="60"/>
        <v>0</v>
      </c>
      <c r="AH175" s="279">
        <f t="shared" si="60"/>
        <v>0</v>
      </c>
      <c r="AI175" s="279">
        <f t="shared" si="60"/>
        <v>0</v>
      </c>
      <c r="AJ175" s="279">
        <f t="shared" si="60"/>
        <v>0</v>
      </c>
    </row>
    <row r="176" spans="2:36" ht="16" thickBot="1">
      <c r="B176" s="305"/>
      <c r="C176" s="305"/>
      <c r="D176" s="305"/>
      <c r="E176" s="305"/>
      <c r="F176" s="305"/>
      <c r="G176" s="305"/>
      <c r="H176" s="305"/>
      <c r="I176" s="305"/>
      <c r="J176" s="305"/>
      <c r="K176" s="305"/>
      <c r="L176" s="305"/>
      <c r="M176" s="305"/>
      <c r="N176" s="305"/>
      <c r="O176" s="305"/>
      <c r="P176" s="305"/>
      <c r="Q176" s="305"/>
      <c r="R176" s="305"/>
      <c r="S176" s="305"/>
      <c r="T176" s="305"/>
      <c r="U176" s="305"/>
      <c r="V176" s="305"/>
      <c r="W176" s="305"/>
      <c r="X176" s="305"/>
      <c r="Y176" s="305"/>
      <c r="Z176" s="305"/>
      <c r="AA176" s="305"/>
      <c r="AB176" s="305"/>
      <c r="AC176" s="305"/>
      <c r="AD176" s="305"/>
      <c r="AE176" s="305"/>
      <c r="AF176" s="305"/>
      <c r="AG176" s="305"/>
      <c r="AH176" s="305"/>
      <c r="AI176" s="305"/>
      <c r="AJ176" s="305"/>
    </row>
    <row r="177" spans="2:36" s="29" customFormat="1" ht="16">
      <c r="B177" s="259"/>
      <c r="C177" s="259"/>
      <c r="D177" s="259"/>
      <c r="E177" s="259"/>
      <c r="F177" s="274"/>
      <c r="G177" s="284"/>
      <c r="H177" s="285"/>
      <c r="I177" s="259"/>
      <c r="J177" s="259"/>
      <c r="K177" s="259"/>
      <c r="L177" s="259"/>
      <c r="M177" s="259"/>
      <c r="N177" s="259"/>
      <c r="O177" s="259"/>
      <c r="P177" s="259"/>
      <c r="Q177" s="259"/>
      <c r="R177" s="259"/>
      <c r="S177" s="259"/>
      <c r="T177" s="259"/>
      <c r="U177" s="259"/>
      <c r="V177" s="259"/>
      <c r="W177" s="259"/>
      <c r="X177" s="259"/>
      <c r="Y177" s="259"/>
      <c r="Z177" s="259"/>
      <c r="AA177" s="259"/>
      <c r="AB177" s="259"/>
      <c r="AC177" s="259"/>
      <c r="AD177" s="259"/>
      <c r="AE177" s="259"/>
      <c r="AF177" s="259"/>
      <c r="AG177" s="259"/>
      <c r="AH177" s="259"/>
      <c r="AI177" s="259"/>
      <c r="AJ177" s="259"/>
    </row>
    <row r="178" spans="2:36" s="29" customFormat="1" ht="16">
      <c r="B178" s="258" t="s">
        <v>230</v>
      </c>
      <c r="C178" s="258"/>
      <c r="D178" s="258"/>
      <c r="E178" s="259"/>
      <c r="F178" s="274"/>
      <c r="G178" s="284"/>
      <c r="H178" s="285"/>
      <c r="I178" s="259"/>
      <c r="J178" s="259"/>
      <c r="K178" s="259"/>
      <c r="L178" s="259"/>
      <c r="M178" s="259"/>
      <c r="N178" s="259"/>
      <c r="O178" s="259"/>
      <c r="P178" s="259"/>
      <c r="Q178" s="259"/>
      <c r="R178" s="259"/>
      <c r="S178" s="259"/>
      <c r="T178" s="259"/>
      <c r="U178" s="259"/>
      <c r="V178" s="259"/>
      <c r="W178" s="259"/>
      <c r="X178" s="259"/>
      <c r="Y178" s="259"/>
      <c r="Z178" s="259"/>
      <c r="AA178" s="259"/>
      <c r="AB178" s="259"/>
      <c r="AC178" s="259"/>
      <c r="AD178" s="259"/>
      <c r="AE178" s="259"/>
      <c r="AF178" s="259"/>
      <c r="AG178" s="259"/>
      <c r="AH178" s="259"/>
      <c r="AI178" s="259"/>
      <c r="AJ178" s="259"/>
    </row>
    <row r="179" spans="2:36" s="29" customFormat="1" ht="16">
      <c r="B179" s="259" t="s">
        <v>231</v>
      </c>
      <c r="C179" s="259"/>
      <c r="D179" s="259"/>
      <c r="E179" s="259"/>
      <c r="F179" s="274"/>
      <c r="G179" s="345">
        <f>IF(OR(Inputs!$G$79="No",Inputs!$Q$24="Performance-Based",Inputs!$Q$24="Neither"),0,IF(AND(Inputs!$Q$25="ITC",G$2=1),Inputs!$Q$28,IF(G$2&gt;1,0,IF(Inputs!$Q$25="Cash Grant",0,"ERROR"))))</f>
        <v>4889175</v>
      </c>
      <c r="H179" s="345">
        <f>IF(OR(Inputs!$G$79="No",Inputs!$Q$24="Performance-Based",Inputs!$Q$24="Neither"),0,IF(AND(Inputs!$Q$25="ITC",H$2=1),Inputs!$Q$28,IF(H$2&gt;1,0,IF(Inputs!$Q$25="Cash Grant",0,"ERROR"))))</f>
        <v>0</v>
      </c>
      <c r="I179" s="345">
        <f>IF(OR(Inputs!$G$79="No",Inputs!$Q$24="Performance-Based",Inputs!$Q$24="Neither"),0,IF(AND(Inputs!$Q$25="ITC",I$2=1),Inputs!$Q$28,IF(I$2&gt;1,0,IF(Inputs!$Q$25="Cash Grant",0,"ERROR"))))</f>
        <v>0</v>
      </c>
      <c r="J179" s="345">
        <f>IF(OR(Inputs!$G$79="No",Inputs!$Q$24="Performance-Based",Inputs!$Q$24="Neither"),0,IF(AND(Inputs!$Q$25="ITC",J$2=1),Inputs!$Q$28,IF(J$2&gt;1,0,IF(Inputs!$Q$25="Cash Grant",0,"ERROR"))))</f>
        <v>0</v>
      </c>
      <c r="K179" s="345">
        <f>IF(OR(Inputs!$G$79="No",Inputs!$Q$24="Performance-Based",Inputs!$Q$24="Neither"),0,IF(AND(Inputs!$Q$25="ITC",K$2=1),Inputs!$Q$28,IF(K$2&gt;1,0,IF(Inputs!$Q$25="Cash Grant",0,"ERROR"))))</f>
        <v>0</v>
      </c>
      <c r="L179" s="345">
        <f>IF(OR(Inputs!$G$79="No",Inputs!$Q$24="Performance-Based",Inputs!$Q$24="Neither"),0,IF(AND(Inputs!$Q$25="ITC",L$2=1),Inputs!$Q$28,IF(L$2&gt;1,0,IF(Inputs!$Q$25="Cash Grant",0,"ERROR"))))</f>
        <v>0</v>
      </c>
      <c r="M179" s="345">
        <f>IF(OR(Inputs!$G$79="No",Inputs!$Q$24="Performance-Based",Inputs!$Q$24="Neither"),0,IF(AND(Inputs!$Q$25="ITC",M$2=1),Inputs!$Q$28,IF(M$2&gt;1,0,IF(Inputs!$Q$25="Cash Grant",0,"ERROR"))))</f>
        <v>0</v>
      </c>
      <c r="N179" s="345">
        <f>IF(OR(Inputs!$G$79="No",Inputs!$Q$24="Performance-Based",Inputs!$Q$24="Neither"),0,IF(AND(Inputs!$Q$25="ITC",N$2=1),Inputs!$Q$28,IF(N$2&gt;1,0,IF(Inputs!$Q$25="Cash Grant",0,"ERROR"))))</f>
        <v>0</v>
      </c>
      <c r="O179" s="345">
        <f>IF(OR(Inputs!$G$79="No",Inputs!$Q$24="Performance-Based",Inputs!$Q$24="Neither"),0,IF(AND(Inputs!$Q$25="ITC",O$2=1),Inputs!$Q$28,IF(O$2&gt;1,0,IF(Inputs!$Q$25="Cash Grant",0,"ERROR"))))</f>
        <v>0</v>
      </c>
      <c r="P179" s="345">
        <f>IF(OR(Inputs!$G$79="No",Inputs!$Q$24="Performance-Based",Inputs!$Q$24="Neither"),0,IF(AND(Inputs!$Q$25="ITC",P$2=1),Inputs!$Q$28,IF(P$2&gt;1,0,IF(Inputs!$Q$25="Cash Grant",0,"ERROR"))))</f>
        <v>0</v>
      </c>
      <c r="Q179" s="345">
        <f>IF(OR(Inputs!$G$79="No",Inputs!$Q$24="Performance-Based",Inputs!$Q$24="Neither"),0,IF(AND(Inputs!$Q$25="ITC",Q$2=1),Inputs!$Q$28,IF(Q$2&gt;1,0,IF(Inputs!$Q$25="Cash Grant",0,"ERROR"))))</f>
        <v>0</v>
      </c>
      <c r="R179" s="345">
        <f>IF(OR(Inputs!$G$79="No",Inputs!$Q$24="Performance-Based",Inputs!$Q$24="Neither"),0,IF(AND(Inputs!$Q$25="ITC",R$2=1),Inputs!$Q$28,IF(R$2&gt;1,0,IF(Inputs!$Q$25="Cash Grant",0,"ERROR"))))</f>
        <v>0</v>
      </c>
      <c r="S179" s="345">
        <f>IF(OR(Inputs!$G$79="No",Inputs!$Q$24="Performance-Based",Inputs!$Q$24="Neither"),0,IF(AND(Inputs!$Q$25="ITC",S$2=1),Inputs!$Q$28,IF(S$2&gt;1,0,IF(Inputs!$Q$25="Cash Grant",0,"ERROR"))))</f>
        <v>0</v>
      </c>
      <c r="T179" s="345">
        <f>IF(OR(Inputs!$G$79="No",Inputs!$Q$24="Performance-Based",Inputs!$Q$24="Neither"),0,IF(AND(Inputs!$Q$25="ITC",T$2=1),Inputs!$Q$28,IF(T$2&gt;1,0,IF(Inputs!$Q$25="Cash Grant",0,"ERROR"))))</f>
        <v>0</v>
      </c>
      <c r="U179" s="345">
        <f>IF(OR(Inputs!$G$79="No",Inputs!$Q$24="Performance-Based",Inputs!$Q$24="Neither"),0,IF(AND(Inputs!$Q$25="ITC",U$2=1),Inputs!$Q$28,IF(U$2&gt;1,0,IF(Inputs!$Q$25="Cash Grant",0,"ERROR"))))</f>
        <v>0</v>
      </c>
      <c r="V179" s="345">
        <f>IF(OR(Inputs!$G$79="No",Inputs!$Q$24="Performance-Based",Inputs!$Q$24="Neither"),0,IF(AND(Inputs!$Q$25="ITC",V$2=1),Inputs!$Q$28,IF(V$2&gt;1,0,IF(Inputs!$Q$25="Cash Grant",0,"ERROR"))))</f>
        <v>0</v>
      </c>
      <c r="W179" s="345">
        <f>IF(OR(Inputs!$G$79="No",Inputs!$Q$24="Performance-Based",Inputs!$Q$24="Neither"),0,IF(AND(Inputs!$Q$25="ITC",W$2=1),Inputs!$Q$28,IF(W$2&gt;1,0,IF(Inputs!$Q$25="Cash Grant",0,"ERROR"))))</f>
        <v>0</v>
      </c>
      <c r="X179" s="345">
        <f>IF(OR(Inputs!$G$79="No",Inputs!$Q$24="Performance-Based",Inputs!$Q$24="Neither"),0,IF(AND(Inputs!$Q$25="ITC",X$2=1),Inputs!$Q$28,IF(X$2&gt;1,0,IF(Inputs!$Q$25="Cash Grant",0,"ERROR"))))</f>
        <v>0</v>
      </c>
      <c r="Y179" s="345">
        <f>IF(OR(Inputs!$G$79="No",Inputs!$Q$24="Performance-Based",Inputs!$Q$24="Neither"),0,IF(AND(Inputs!$Q$25="ITC",Y$2=1),Inputs!$Q$28,IF(Y$2&gt;1,0,IF(Inputs!$Q$25="Cash Grant",0,"ERROR"))))</f>
        <v>0</v>
      </c>
      <c r="Z179" s="345">
        <f>IF(OR(Inputs!$G$79="No",Inputs!$Q$24="Performance-Based",Inputs!$Q$24="Neither"),0,IF(AND(Inputs!$Q$25="ITC",Z$2=1),Inputs!$Q$28,IF(Z$2&gt;1,0,IF(Inputs!$Q$25="Cash Grant",0,"ERROR"))))</f>
        <v>0</v>
      </c>
      <c r="AA179" s="345">
        <f>IF(OR(Inputs!$G$79="No",Inputs!$Q$24="Performance-Based",Inputs!$Q$24="Neither"),0,IF(AND(Inputs!$Q$25="ITC",AA$2=1),Inputs!$Q$28,IF(AA$2&gt;1,0,IF(Inputs!$Q$25="Cash Grant",0,"ERROR"))))</f>
        <v>0</v>
      </c>
      <c r="AB179" s="345">
        <f>IF(OR(Inputs!$G$79="No",Inputs!$Q$24="Performance-Based",Inputs!$Q$24="Neither"),0,IF(AND(Inputs!$Q$25="ITC",AB$2=1),Inputs!$Q$28,IF(AB$2&gt;1,0,IF(Inputs!$Q$25="Cash Grant",0,"ERROR"))))</f>
        <v>0</v>
      </c>
      <c r="AC179" s="345">
        <f>IF(OR(Inputs!$G$79="No",Inputs!$Q$24="Performance-Based",Inputs!$Q$24="Neither"),0,IF(AND(Inputs!$Q$25="ITC",AC$2=1),Inputs!$Q$28,IF(AC$2&gt;1,0,IF(Inputs!$Q$25="Cash Grant",0,"ERROR"))))</f>
        <v>0</v>
      </c>
      <c r="AD179" s="345">
        <f>IF(OR(Inputs!$G$79="No",Inputs!$Q$24="Performance-Based",Inputs!$Q$24="Neither"),0,IF(AND(Inputs!$Q$25="ITC",AD$2=1),Inputs!$Q$28,IF(AD$2&gt;1,0,IF(Inputs!$Q$25="Cash Grant",0,"ERROR"))))</f>
        <v>0</v>
      </c>
      <c r="AE179" s="345">
        <f>IF(OR(Inputs!$G$79="No",Inputs!$Q$24="Performance-Based",Inputs!$Q$24="Neither"),0,IF(AND(Inputs!$Q$25="ITC",AE$2=1),Inputs!$Q$28,IF(AE$2&gt;1,0,IF(Inputs!$Q$25="Cash Grant",0,"ERROR"))))</f>
        <v>0</v>
      </c>
      <c r="AF179" s="345">
        <f>IF(OR(Inputs!$G$79="No",Inputs!$Q$24="Performance-Based",Inputs!$Q$24="Neither"),0,IF(AND(Inputs!$Q$25="ITC",AF$2=1),Inputs!$Q$28,IF(AF$2&gt;1,0,IF(Inputs!$Q$25="Cash Grant",0,"ERROR"))))</f>
        <v>0</v>
      </c>
      <c r="AG179" s="345">
        <f>IF(OR(Inputs!$G$79="No",Inputs!$Q$24="Performance-Based",Inputs!$Q$24="Neither"),0,IF(AND(Inputs!$Q$25="ITC",AG$2=1),Inputs!$Q$28,IF(AG$2&gt;1,0,IF(Inputs!$Q$25="Cash Grant",0,"ERROR"))))</f>
        <v>0</v>
      </c>
      <c r="AH179" s="345">
        <f>IF(OR(Inputs!$G$79="No",Inputs!$Q$24="Performance-Based",Inputs!$Q$24="Neither"),0,IF(AND(Inputs!$Q$25="ITC",AH$2=1),Inputs!$Q$28,IF(AH$2&gt;1,0,IF(Inputs!$Q$25="Cash Grant",0,"ERROR"))))</f>
        <v>0</v>
      </c>
      <c r="AI179" s="345">
        <f>IF(OR(Inputs!$G$79="No",Inputs!$Q$24="Performance-Based",Inputs!$Q$24="Neither"),0,IF(AND(Inputs!$Q$25="ITC",AI$2=1),Inputs!$Q$28,IF(AI$2&gt;1,0,IF(Inputs!$Q$25="Cash Grant",0,"ERROR"))))</f>
        <v>0</v>
      </c>
      <c r="AJ179" s="345">
        <f>IF(OR(Inputs!$G$79="No",Inputs!$Q$24="Performance-Based",Inputs!$Q$24="Neither"),0,IF(AND(Inputs!$Q$25="ITC",AJ$2=1),Inputs!$Q$28,IF(AJ$2&gt;1,0,IF(Inputs!$Q$25="Cash Grant",0,"ERROR"))))</f>
        <v>0</v>
      </c>
    </row>
    <row r="180" spans="2:36" s="29" customFormat="1" ht="16">
      <c r="B180" s="259" t="s">
        <v>191</v>
      </c>
      <c r="C180" s="259"/>
      <c r="D180" s="259"/>
      <c r="E180" s="259"/>
      <c r="F180" s="274"/>
      <c r="G180" s="279">
        <f>IF(OR(Inputs!$G$79="No",Inputs!$Q$24="Cost-Based",Inputs!$Q$24="Neither"),0,IF(Inputs!$Q$29="Tax Credit",IF(G$2&gt;Inputs!$Q$32,0,Inputs!$Q$30/100*G$16*Inputs!$Q$31*G$10*(1-MIN(Inputs!$Q$34/Inputs!$G$30,50%))),0))</f>
        <v>0</v>
      </c>
      <c r="H180" s="279">
        <f>IF(OR(Inputs!$G$79="No",Inputs!$Q$24="Cost-Based",Inputs!$Q$24="Neither"),0,IF(Inputs!$Q$29="Tax Credit",IF(H$2&gt;Inputs!$Q$32,0,Inputs!$Q$30/100*H$16*Inputs!$Q$31*H$10*(1-MIN(Inputs!$Q$34/Inputs!$G$30,50%))),0))</f>
        <v>0</v>
      </c>
      <c r="I180" s="279">
        <f>IF(OR(Inputs!$G$79="No",Inputs!$Q$24="Cost-Based",Inputs!$Q$24="Neither"),0,IF(Inputs!$Q$29="Tax Credit",IF(I$2&gt;Inputs!$Q$32,0,Inputs!$Q$30/100*I$16*Inputs!$Q$31*I$10*(1-MIN(Inputs!$Q$34/Inputs!$G$30,50%))),0))</f>
        <v>0</v>
      </c>
      <c r="J180" s="279">
        <f>IF(OR(Inputs!$G$79="No",Inputs!$Q$24="Cost-Based",Inputs!$Q$24="Neither"),0,IF(Inputs!$Q$29="Tax Credit",IF(J$2&gt;Inputs!$Q$32,0,Inputs!$Q$30/100*J$16*Inputs!$Q$31*J$10*(1-MIN(Inputs!$Q$34/Inputs!$G$30,50%))),0))</f>
        <v>0</v>
      </c>
      <c r="K180" s="279">
        <f>IF(OR(Inputs!$G$79="No",Inputs!$Q$24="Cost-Based",Inputs!$Q$24="Neither"),0,IF(Inputs!$Q$29="Tax Credit",IF(K$2&gt;Inputs!$Q$32,0,Inputs!$Q$30/100*K$16*Inputs!$Q$31*K$10*(1-MIN(Inputs!$Q$34/Inputs!$G$30,50%))),0))</f>
        <v>0</v>
      </c>
      <c r="L180" s="279">
        <f>IF(OR(Inputs!$G$79="No",Inputs!$Q$24="Cost-Based",Inputs!$Q$24="Neither"),0,IF(Inputs!$Q$29="Tax Credit",IF(L$2&gt;Inputs!$Q$32,0,Inputs!$Q$30/100*L$16*Inputs!$Q$31*L$10*(1-MIN(Inputs!$Q$34/Inputs!$G$30,50%))),0))</f>
        <v>0</v>
      </c>
      <c r="M180" s="279">
        <f>IF(OR(Inputs!$G$79="No",Inputs!$Q$24="Cost-Based",Inputs!$Q$24="Neither"),0,IF(Inputs!$Q$29="Tax Credit",IF(M$2&gt;Inputs!$Q$32,0,Inputs!$Q$30/100*M$16*Inputs!$Q$31*M$10*(1-MIN(Inputs!$Q$34/Inputs!$G$30,50%))),0))</f>
        <v>0</v>
      </c>
      <c r="N180" s="279">
        <f>IF(OR(Inputs!$G$79="No",Inputs!$Q$24="Cost-Based",Inputs!$Q$24="Neither"),0,IF(Inputs!$Q$29="Tax Credit",IF(N$2&gt;Inputs!$Q$32,0,Inputs!$Q$30/100*N$16*Inputs!$Q$31*N$10*(1-MIN(Inputs!$Q$34/Inputs!$G$30,50%))),0))</f>
        <v>0</v>
      </c>
      <c r="O180" s="279">
        <f>IF(OR(Inputs!$G$79="No",Inputs!$Q$24="Cost-Based",Inputs!$Q$24="Neither"),0,IF(Inputs!$Q$29="Tax Credit",IF(O$2&gt;Inputs!$Q$32,0,Inputs!$Q$30/100*O$16*Inputs!$Q$31*O$10*(1-MIN(Inputs!$Q$34/Inputs!$G$30,50%))),0))</f>
        <v>0</v>
      </c>
      <c r="P180" s="279">
        <f>IF(OR(Inputs!$G$79="No",Inputs!$Q$24="Cost-Based",Inputs!$Q$24="Neither"),0,IF(Inputs!$Q$29="Tax Credit",IF(P$2&gt;Inputs!$Q$32,0,Inputs!$Q$30/100*P$16*Inputs!$Q$31*P$10*(1-MIN(Inputs!$Q$34/Inputs!$G$30,50%))),0))</f>
        <v>0</v>
      </c>
      <c r="Q180" s="279">
        <f>IF(OR(Inputs!$G$79="No",Inputs!$Q$24="Cost-Based",Inputs!$Q$24="Neither"),0,IF(Inputs!$Q$29="Tax Credit",IF(Q$2&gt;Inputs!$Q$32,0,Inputs!$Q$30/100*Q$16*Inputs!$Q$31*Q$10*(1-MIN(Inputs!$Q$34/Inputs!$G$30,50%))),0))</f>
        <v>0</v>
      </c>
      <c r="R180" s="279">
        <f>IF(OR(Inputs!$G$79="No",Inputs!$Q$24="Cost-Based",Inputs!$Q$24="Neither"),0,IF(Inputs!$Q$29="Tax Credit",IF(R$2&gt;Inputs!$Q$32,0,Inputs!$Q$30/100*R$16*Inputs!$Q$31*R$10*(1-MIN(Inputs!$Q$34/Inputs!$G$30,50%))),0))</f>
        <v>0</v>
      </c>
      <c r="S180" s="279">
        <f>IF(OR(Inputs!$G$79="No",Inputs!$Q$24="Cost-Based",Inputs!$Q$24="Neither"),0,IF(Inputs!$Q$29="Tax Credit",IF(S$2&gt;Inputs!$Q$32,0,Inputs!$Q$30/100*S$16*Inputs!$Q$31*S$10*(1-MIN(Inputs!$Q$34/Inputs!$G$30,50%))),0))</f>
        <v>0</v>
      </c>
      <c r="T180" s="279">
        <f>IF(OR(Inputs!$G$79="No",Inputs!$Q$24="Cost-Based",Inputs!$Q$24="Neither"),0,IF(Inputs!$Q$29="Tax Credit",IF(T$2&gt;Inputs!$Q$32,0,Inputs!$Q$30/100*T$16*Inputs!$Q$31*T$10*(1-MIN(Inputs!$Q$34/Inputs!$G$30,50%))),0))</f>
        <v>0</v>
      </c>
      <c r="U180" s="279">
        <f>IF(OR(Inputs!$G$79="No",Inputs!$Q$24="Cost-Based",Inputs!$Q$24="Neither"),0,IF(Inputs!$Q$29="Tax Credit",IF(U$2&gt;Inputs!$Q$32,0,Inputs!$Q$30/100*U$16*Inputs!$Q$31*U$10*(1-MIN(Inputs!$Q$34/Inputs!$G$30,50%))),0))</f>
        <v>0</v>
      </c>
      <c r="V180" s="279">
        <f>IF(OR(Inputs!$G$79="No",Inputs!$Q$24="Cost-Based",Inputs!$Q$24="Neither"),0,IF(Inputs!$Q$29="Tax Credit",IF(V$2&gt;Inputs!$Q$32,0,Inputs!$Q$30/100*V$16*Inputs!$Q$31*V$10*(1-MIN(Inputs!$Q$34/Inputs!$G$30,50%))),0))</f>
        <v>0</v>
      </c>
      <c r="W180" s="279">
        <f>IF(OR(Inputs!$G$79="No",Inputs!$Q$24="Cost-Based",Inputs!$Q$24="Neither"),0,IF(Inputs!$Q$29="Tax Credit",IF(W$2&gt;Inputs!$Q$32,0,Inputs!$Q$30/100*W$16*Inputs!$Q$31*W$10*(1-MIN(Inputs!$Q$34/Inputs!$G$30,50%))),0))</f>
        <v>0</v>
      </c>
      <c r="X180" s="279">
        <f>IF(OR(Inputs!$G$79="No",Inputs!$Q$24="Cost-Based",Inputs!$Q$24="Neither"),0,IF(Inputs!$Q$29="Tax Credit",IF(X$2&gt;Inputs!$Q$32,0,Inputs!$Q$30/100*X$16*Inputs!$Q$31*X$10*(1-MIN(Inputs!$Q$34/Inputs!$G$30,50%))),0))</f>
        <v>0</v>
      </c>
      <c r="Y180" s="279">
        <f>IF(OR(Inputs!$G$79="No",Inputs!$Q$24="Cost-Based",Inputs!$Q$24="Neither"),0,IF(Inputs!$Q$29="Tax Credit",IF(Y$2&gt;Inputs!$Q$32,0,Inputs!$Q$30/100*Y$16*Inputs!$Q$31*Y$10*(1-MIN(Inputs!$Q$34/Inputs!$G$30,50%))),0))</f>
        <v>0</v>
      </c>
      <c r="Z180" s="279">
        <f>IF(OR(Inputs!$G$79="No",Inputs!$Q$24="Cost-Based",Inputs!$Q$24="Neither"),0,IF(Inputs!$Q$29="Tax Credit",IF(Z$2&gt;Inputs!$Q$32,0,Inputs!$Q$30/100*Z$16*Inputs!$Q$31*Z$10*(1-MIN(Inputs!$Q$34/Inputs!$G$30,50%))),0))</f>
        <v>0</v>
      </c>
      <c r="AA180" s="279">
        <f>IF(OR(Inputs!$G$79="No",Inputs!$Q$24="Cost-Based",Inputs!$Q$24="Neither"),0,IF(Inputs!$Q$29="Tax Credit",IF(AA$2&gt;Inputs!$Q$32,0,Inputs!$Q$30/100*AA$16*Inputs!$Q$31*AA$10*(1-MIN(Inputs!$Q$34/Inputs!$G$30,50%))),0))</f>
        <v>0</v>
      </c>
      <c r="AB180" s="279">
        <f>IF(OR(Inputs!$G$79="No",Inputs!$Q$24="Cost-Based",Inputs!$Q$24="Neither"),0,IF(Inputs!$Q$29="Tax Credit",IF(AB$2&gt;Inputs!$Q$32,0,Inputs!$Q$30/100*AB$16*Inputs!$Q$31*AB$10*(1-MIN(Inputs!$Q$34/Inputs!$G$30,50%))),0))</f>
        <v>0</v>
      </c>
      <c r="AC180" s="279">
        <f>IF(OR(Inputs!$G$79="No",Inputs!$Q$24="Cost-Based",Inputs!$Q$24="Neither"),0,IF(Inputs!$Q$29="Tax Credit",IF(AC$2&gt;Inputs!$Q$32,0,Inputs!$Q$30/100*AC$16*Inputs!$Q$31*AC$10*(1-MIN(Inputs!$Q$34/Inputs!$G$30,50%))),0))</f>
        <v>0</v>
      </c>
      <c r="AD180" s="279">
        <f>IF(OR(Inputs!$G$79="No",Inputs!$Q$24="Cost-Based",Inputs!$Q$24="Neither"),0,IF(Inputs!$Q$29="Tax Credit",IF(AD$2&gt;Inputs!$Q$32,0,Inputs!$Q$30/100*AD$16*Inputs!$Q$31*AD$10*(1-MIN(Inputs!$Q$34/Inputs!$G$30,50%))),0))</f>
        <v>0</v>
      </c>
      <c r="AE180" s="279">
        <f>IF(OR(Inputs!$G$79="No",Inputs!$Q$24="Cost-Based",Inputs!$Q$24="Neither"),0,IF(Inputs!$Q$29="Tax Credit",IF(AE$2&gt;Inputs!$Q$32,0,Inputs!$Q$30/100*AE$16*Inputs!$Q$31*AE$10*(1-MIN(Inputs!$Q$34/Inputs!$G$30,50%))),0))</f>
        <v>0</v>
      </c>
      <c r="AF180" s="279">
        <f>IF(OR(Inputs!$G$79="No",Inputs!$Q$24="Cost-Based",Inputs!$Q$24="Neither"),0,IF(Inputs!$Q$29="Tax Credit",IF(AF$2&gt;Inputs!$Q$32,0,Inputs!$Q$30/100*AF$16*Inputs!$Q$31*AF$10*(1-MIN(Inputs!$Q$34/Inputs!$G$30,50%))),0))</f>
        <v>0</v>
      </c>
      <c r="AG180" s="279">
        <f>IF(OR(Inputs!$G$79="No",Inputs!$Q$24="Cost-Based",Inputs!$Q$24="Neither"),0,IF(Inputs!$Q$29="Tax Credit",IF(AG$2&gt;Inputs!$Q$32,0,Inputs!$Q$30/100*AG$16*Inputs!$Q$31*AG$10*(1-MIN(Inputs!$Q$34/Inputs!$G$30,50%))),0))</f>
        <v>0</v>
      </c>
      <c r="AH180" s="279">
        <f>IF(OR(Inputs!$G$79="No",Inputs!$Q$24="Cost-Based",Inputs!$Q$24="Neither"),0,IF(Inputs!$Q$29="Tax Credit",IF(AH$2&gt;Inputs!$Q$32,0,Inputs!$Q$30/100*AH$16*Inputs!$Q$31*AH$10*(1-MIN(Inputs!$Q$34/Inputs!$G$30,50%))),0))</f>
        <v>0</v>
      </c>
      <c r="AI180" s="279">
        <f>IF(OR(Inputs!$G$79="No",Inputs!$Q$24="Cost-Based",Inputs!$Q$24="Neither"),0,IF(Inputs!$Q$29="Tax Credit",IF(AI$2&gt;Inputs!$Q$32,0,Inputs!$Q$30/100*AI$16*Inputs!$Q$31*AI$10*(1-MIN(Inputs!$Q$34/Inputs!$G$30,50%))),0))</f>
        <v>0</v>
      </c>
      <c r="AJ180" s="279">
        <f>IF(OR(Inputs!$G$79="No",Inputs!$Q$24="Cost-Based",Inputs!$Q$24="Neither"),0,IF(Inputs!$Q$29="Tax Credit",IF(AJ$2&gt;Inputs!$Q$32,0,Inputs!$Q$30/100*AJ$16*Inputs!$Q$31*AJ$10*(1-MIN(Inputs!$Q$34/Inputs!$G$30,50%))),0))</f>
        <v>0</v>
      </c>
    </row>
    <row r="181" spans="2:36" s="29" customFormat="1" ht="16">
      <c r="B181" s="259"/>
      <c r="C181" s="259"/>
      <c r="D181" s="259"/>
      <c r="E181" s="259"/>
      <c r="F181" s="274"/>
      <c r="G181" s="279"/>
      <c r="H181" s="279"/>
      <c r="I181" s="279"/>
      <c r="J181" s="279"/>
      <c r="K181" s="279"/>
      <c r="L181" s="279"/>
      <c r="M181" s="279"/>
      <c r="N181" s="279"/>
      <c r="O181" s="279"/>
      <c r="P181" s="279"/>
      <c r="Q181" s="279"/>
      <c r="R181" s="279"/>
      <c r="S181" s="279"/>
      <c r="T181" s="279"/>
      <c r="U181" s="279"/>
      <c r="V181" s="279"/>
      <c r="W181" s="279"/>
      <c r="X181" s="279"/>
      <c r="Y181" s="279"/>
      <c r="Z181" s="279"/>
      <c r="AA181" s="279"/>
      <c r="AB181" s="279"/>
      <c r="AC181" s="279"/>
      <c r="AD181" s="279"/>
      <c r="AE181" s="279"/>
      <c r="AF181" s="279"/>
      <c r="AG181" s="279"/>
      <c r="AH181" s="279"/>
      <c r="AI181" s="279"/>
      <c r="AJ181" s="279"/>
    </row>
    <row r="182" spans="2:36" s="29" customFormat="1" ht="16">
      <c r="B182" s="259" t="s">
        <v>233</v>
      </c>
      <c r="C182" s="259"/>
      <c r="D182" s="259"/>
      <c r="E182" s="259"/>
      <c r="F182" s="274"/>
      <c r="G182" s="279">
        <f>SUM(G179:G180)</f>
        <v>4889175</v>
      </c>
      <c r="H182" s="279">
        <f t="shared" ref="H182:AJ182" si="61">SUM(H179:H180)</f>
        <v>0</v>
      </c>
      <c r="I182" s="279">
        <f t="shared" si="61"/>
        <v>0</v>
      </c>
      <c r="J182" s="279">
        <f t="shared" si="61"/>
        <v>0</v>
      </c>
      <c r="K182" s="279">
        <f t="shared" si="61"/>
        <v>0</v>
      </c>
      <c r="L182" s="279">
        <f t="shared" si="61"/>
        <v>0</v>
      </c>
      <c r="M182" s="279">
        <f t="shared" si="61"/>
        <v>0</v>
      </c>
      <c r="N182" s="279">
        <f t="shared" si="61"/>
        <v>0</v>
      </c>
      <c r="O182" s="279">
        <f t="shared" si="61"/>
        <v>0</v>
      </c>
      <c r="P182" s="279">
        <f t="shared" si="61"/>
        <v>0</v>
      </c>
      <c r="Q182" s="279">
        <f t="shared" si="61"/>
        <v>0</v>
      </c>
      <c r="R182" s="279">
        <f t="shared" si="61"/>
        <v>0</v>
      </c>
      <c r="S182" s="279">
        <f t="shared" si="61"/>
        <v>0</v>
      </c>
      <c r="T182" s="279">
        <f t="shared" si="61"/>
        <v>0</v>
      </c>
      <c r="U182" s="279">
        <f t="shared" si="61"/>
        <v>0</v>
      </c>
      <c r="V182" s="279">
        <f t="shared" si="61"/>
        <v>0</v>
      </c>
      <c r="W182" s="279">
        <f t="shared" si="61"/>
        <v>0</v>
      </c>
      <c r="X182" s="279">
        <f t="shared" si="61"/>
        <v>0</v>
      </c>
      <c r="Y182" s="279">
        <f t="shared" si="61"/>
        <v>0</v>
      </c>
      <c r="Z182" s="279">
        <f t="shared" si="61"/>
        <v>0</v>
      </c>
      <c r="AA182" s="279">
        <f t="shared" si="61"/>
        <v>0</v>
      </c>
      <c r="AB182" s="279">
        <f t="shared" si="61"/>
        <v>0</v>
      </c>
      <c r="AC182" s="279">
        <f t="shared" si="61"/>
        <v>0</v>
      </c>
      <c r="AD182" s="279">
        <f t="shared" si="61"/>
        <v>0</v>
      </c>
      <c r="AE182" s="279">
        <f t="shared" si="61"/>
        <v>0</v>
      </c>
      <c r="AF182" s="279">
        <f t="shared" si="61"/>
        <v>0</v>
      </c>
      <c r="AG182" s="279">
        <f t="shared" si="61"/>
        <v>0</v>
      </c>
      <c r="AH182" s="279">
        <f t="shared" si="61"/>
        <v>0</v>
      </c>
      <c r="AI182" s="279">
        <f t="shared" si="61"/>
        <v>0</v>
      </c>
      <c r="AJ182" s="279">
        <f t="shared" si="61"/>
        <v>0</v>
      </c>
    </row>
    <row r="183" spans="2:36" s="29" customFormat="1" ht="16">
      <c r="B183" s="259"/>
      <c r="C183" s="259"/>
      <c r="D183" s="259"/>
      <c r="E183" s="259"/>
      <c r="F183" s="274"/>
      <c r="G183" s="279"/>
      <c r="H183" s="279"/>
      <c r="I183" s="279"/>
      <c r="J183" s="279"/>
      <c r="K183" s="279"/>
      <c r="L183" s="279"/>
      <c r="M183" s="279"/>
      <c r="N183" s="279"/>
      <c r="O183" s="279"/>
      <c r="P183" s="279"/>
      <c r="Q183" s="279"/>
      <c r="R183" s="279"/>
      <c r="S183" s="279"/>
      <c r="T183" s="279"/>
      <c r="U183" s="279"/>
      <c r="V183" s="279"/>
      <c r="W183" s="279"/>
      <c r="X183" s="279"/>
      <c r="Y183" s="279"/>
      <c r="Z183" s="279"/>
      <c r="AA183" s="279"/>
      <c r="AB183" s="279"/>
      <c r="AC183" s="279"/>
      <c r="AD183" s="279"/>
      <c r="AE183" s="279"/>
      <c r="AF183" s="279"/>
      <c r="AG183" s="279"/>
      <c r="AH183" s="279"/>
      <c r="AI183" s="279"/>
      <c r="AJ183" s="279"/>
    </row>
    <row r="184" spans="2:36" s="29" customFormat="1" ht="16">
      <c r="B184" s="346" t="s">
        <v>234</v>
      </c>
      <c r="C184" s="346"/>
      <c r="D184" s="346"/>
      <c r="E184" s="259"/>
      <c r="F184" s="274"/>
      <c r="G184" s="279"/>
      <c r="H184" s="279"/>
      <c r="I184" s="279"/>
      <c r="J184" s="279"/>
      <c r="K184" s="279"/>
      <c r="L184" s="279"/>
      <c r="M184" s="279"/>
      <c r="N184" s="279"/>
      <c r="O184" s="279"/>
      <c r="P184" s="279"/>
      <c r="Q184" s="279"/>
      <c r="R184" s="279"/>
      <c r="S184" s="279"/>
      <c r="T184" s="279"/>
      <c r="U184" s="279"/>
      <c r="V184" s="279"/>
      <c r="W184" s="279"/>
      <c r="X184" s="279"/>
      <c r="Y184" s="279"/>
      <c r="Z184" s="279"/>
      <c r="AA184" s="279"/>
      <c r="AB184" s="279"/>
      <c r="AC184" s="279"/>
      <c r="AD184" s="279"/>
      <c r="AE184" s="279"/>
      <c r="AF184" s="279"/>
      <c r="AG184" s="279"/>
      <c r="AH184" s="279"/>
      <c r="AI184" s="279"/>
      <c r="AJ184" s="279"/>
    </row>
    <row r="185" spans="2:36" s="29" customFormat="1" ht="16">
      <c r="B185" s="259" t="str">
        <f>B73</f>
        <v>Federal Income Taxes Saved / (Paid), before ITC/PTC</v>
      </c>
      <c r="C185" s="259"/>
      <c r="D185" s="259"/>
      <c r="E185" s="259"/>
      <c r="F185" s="274"/>
      <c r="G185" s="279" t="str">
        <f>IF(Inputs!$G$81="as generated","N/A",'Cash Flow'!G73)</f>
        <v>N/A</v>
      </c>
      <c r="H185" s="279" t="str">
        <f>IF(Inputs!$G$81="as generated","N/A",'Cash Flow'!H73)</f>
        <v>N/A</v>
      </c>
      <c r="I185" s="279" t="str">
        <f>IF(Inputs!$G$81="as generated","N/A",'Cash Flow'!I73)</f>
        <v>N/A</v>
      </c>
      <c r="J185" s="279" t="str">
        <f>IF(Inputs!$G$81="as generated","N/A",'Cash Flow'!J73)</f>
        <v>N/A</v>
      </c>
      <c r="K185" s="279" t="str">
        <f>IF(Inputs!$G$81="as generated","N/A",'Cash Flow'!K73)</f>
        <v>N/A</v>
      </c>
      <c r="L185" s="279" t="str">
        <f>IF(Inputs!$G$81="as generated","N/A",'Cash Flow'!L73)</f>
        <v>N/A</v>
      </c>
      <c r="M185" s="279" t="str">
        <f>IF(Inputs!$G$81="as generated","N/A",'Cash Flow'!M73)</f>
        <v>N/A</v>
      </c>
      <c r="N185" s="279" t="str">
        <f>IF(Inputs!$G$81="as generated","N/A",'Cash Flow'!N73)</f>
        <v>N/A</v>
      </c>
      <c r="O185" s="279" t="str">
        <f>IF(Inputs!$G$81="as generated","N/A",'Cash Flow'!O73)</f>
        <v>N/A</v>
      </c>
      <c r="P185" s="279" t="str">
        <f>IF(Inputs!$G$81="as generated","N/A",'Cash Flow'!P73)</f>
        <v>N/A</v>
      </c>
      <c r="Q185" s="279" t="str">
        <f>IF(Inputs!$G$81="as generated","N/A",'Cash Flow'!Q73)</f>
        <v>N/A</v>
      </c>
      <c r="R185" s="279" t="str">
        <f>IF(Inputs!$G$81="as generated","N/A",'Cash Flow'!R73)</f>
        <v>N/A</v>
      </c>
      <c r="S185" s="279" t="str">
        <f>IF(Inputs!$G$81="as generated","N/A",'Cash Flow'!S73)</f>
        <v>N/A</v>
      </c>
      <c r="T185" s="279" t="str">
        <f>IF(Inputs!$G$81="as generated","N/A",'Cash Flow'!T73)</f>
        <v>N/A</v>
      </c>
      <c r="U185" s="279" t="str">
        <f>IF(Inputs!$G$81="as generated","N/A",'Cash Flow'!U73)</f>
        <v>N/A</v>
      </c>
      <c r="V185" s="279" t="str">
        <f>IF(Inputs!$G$81="as generated","N/A",'Cash Flow'!V73)</f>
        <v>N/A</v>
      </c>
      <c r="W185" s="279" t="str">
        <f>IF(Inputs!$G$81="as generated","N/A",'Cash Flow'!W73)</f>
        <v>N/A</v>
      </c>
      <c r="X185" s="279" t="str">
        <f>IF(Inputs!$G$81="as generated","N/A",'Cash Flow'!X73)</f>
        <v>N/A</v>
      </c>
      <c r="Y185" s="279" t="str">
        <f>IF(Inputs!$G$81="as generated","N/A",'Cash Flow'!Y73)</f>
        <v>N/A</v>
      </c>
      <c r="Z185" s="279" t="str">
        <f>IF(Inputs!$G$81="as generated","N/A",'Cash Flow'!Z73)</f>
        <v>N/A</v>
      </c>
      <c r="AA185" s="279" t="str">
        <f>IF(Inputs!$G$81="as generated","N/A",'Cash Flow'!AA73)</f>
        <v>N/A</v>
      </c>
      <c r="AB185" s="279" t="str">
        <f>IF(Inputs!$G$81="as generated","N/A",'Cash Flow'!AB73)</f>
        <v>N/A</v>
      </c>
      <c r="AC185" s="279" t="str">
        <f>IF(Inputs!$G$81="as generated","N/A",'Cash Flow'!AC73)</f>
        <v>N/A</v>
      </c>
      <c r="AD185" s="279" t="str">
        <f>IF(Inputs!$G$81="as generated","N/A",'Cash Flow'!AD73)</f>
        <v>N/A</v>
      </c>
      <c r="AE185" s="279" t="str">
        <f>IF(Inputs!$G$81="as generated","N/A",'Cash Flow'!AE73)</f>
        <v>N/A</v>
      </c>
      <c r="AF185" s="279" t="str">
        <f>IF(Inputs!$G$81="as generated","N/A",'Cash Flow'!AF73)</f>
        <v>N/A</v>
      </c>
      <c r="AG185" s="279" t="str">
        <f>IF(Inputs!$G$81="as generated","N/A",'Cash Flow'!AG73)</f>
        <v>N/A</v>
      </c>
      <c r="AH185" s="279" t="str">
        <f>IF(Inputs!$G$81="as generated","N/A",'Cash Flow'!AH73)</f>
        <v>N/A</v>
      </c>
      <c r="AI185" s="279" t="str">
        <f>IF(Inputs!$G$81="as generated","N/A",'Cash Flow'!AI73)</f>
        <v>N/A</v>
      </c>
      <c r="AJ185" s="279" t="str">
        <f>IF(Inputs!$G$81="as generated","N/A",'Cash Flow'!AJ73)</f>
        <v>N/A</v>
      </c>
    </row>
    <row r="186" spans="2:36" s="29" customFormat="1" ht="16">
      <c r="B186" s="259"/>
      <c r="C186" s="259"/>
      <c r="D186" s="259"/>
      <c r="E186" s="259"/>
      <c r="F186" s="274"/>
      <c r="G186" s="279"/>
      <c r="H186" s="279"/>
      <c r="I186" s="279"/>
      <c r="J186" s="279"/>
      <c r="K186" s="279"/>
      <c r="L186" s="279"/>
      <c r="M186" s="279"/>
      <c r="N186" s="279"/>
      <c r="O186" s="279"/>
      <c r="P186" s="279"/>
      <c r="Q186" s="279"/>
      <c r="R186" s="279"/>
      <c r="S186" s="279"/>
      <c r="T186" s="279"/>
      <c r="U186" s="279"/>
      <c r="V186" s="279"/>
      <c r="W186" s="279"/>
      <c r="X186" s="279"/>
      <c r="Y186" s="279"/>
      <c r="Z186" s="279"/>
      <c r="AA186" s="279"/>
      <c r="AB186" s="279"/>
      <c r="AC186" s="279"/>
      <c r="AD186" s="279"/>
      <c r="AE186" s="279"/>
      <c r="AF186" s="279"/>
      <c r="AG186" s="279"/>
      <c r="AH186" s="279"/>
      <c r="AI186" s="279"/>
      <c r="AJ186" s="279"/>
    </row>
    <row r="187" spans="2:36" s="29" customFormat="1" ht="16">
      <c r="B187" s="259" t="s">
        <v>271</v>
      </c>
      <c r="C187" s="259"/>
      <c r="D187" s="259"/>
      <c r="E187" s="259"/>
      <c r="F187" s="274"/>
      <c r="G187" s="279">
        <v>0</v>
      </c>
      <c r="H187" s="279">
        <f>IF(Inputs!$G$81="as generated",0,G190)</f>
        <v>0</v>
      </c>
      <c r="I187" s="279">
        <f>IF(Inputs!$G$81="as generated",0,H190)</f>
        <v>0</v>
      </c>
      <c r="J187" s="279">
        <f>IF(Inputs!$G$81="as generated",0,I190)</f>
        <v>0</v>
      </c>
      <c r="K187" s="279">
        <f>IF(Inputs!$G$81="as generated",0,J190)</f>
        <v>0</v>
      </c>
      <c r="L187" s="279">
        <f>IF(Inputs!$G$81="as generated",0,K190)</f>
        <v>0</v>
      </c>
      <c r="M187" s="279">
        <f>IF(Inputs!$G$81="as generated",0,L190)</f>
        <v>0</v>
      </c>
      <c r="N187" s="279">
        <f>IF(Inputs!$G$81="as generated",0,M190)</f>
        <v>0</v>
      </c>
      <c r="O187" s="279">
        <f>IF(Inputs!$G$81="as generated",0,N190)</f>
        <v>0</v>
      </c>
      <c r="P187" s="279">
        <f>IF(Inputs!$G$81="as generated",0,O190)</f>
        <v>0</v>
      </c>
      <c r="Q187" s="279">
        <f>IF(Inputs!$G$81="as generated",0,P190)</f>
        <v>0</v>
      </c>
      <c r="R187" s="279">
        <f>IF(Inputs!$G$81="as generated",0,Q190)</f>
        <v>0</v>
      </c>
      <c r="S187" s="279">
        <f>IF(Inputs!$G$81="as generated",0,R190)</f>
        <v>0</v>
      </c>
      <c r="T187" s="279">
        <f>IF(Inputs!$G$81="as generated",0,S190)</f>
        <v>0</v>
      </c>
      <c r="U187" s="279">
        <f>IF(Inputs!$G$81="as generated",0,T190)</f>
        <v>0</v>
      </c>
      <c r="V187" s="279">
        <f>IF(Inputs!$G$81="as generated",0,U190)</f>
        <v>0</v>
      </c>
      <c r="W187" s="279">
        <f>IF(Inputs!$G$81="as generated",0,V190)</f>
        <v>0</v>
      </c>
      <c r="X187" s="279">
        <f>IF(Inputs!$G$81="as generated",0,W190)</f>
        <v>0</v>
      </c>
      <c r="Y187" s="279">
        <f>IF(Inputs!$G$81="as generated",0,X190)</f>
        <v>0</v>
      </c>
      <c r="Z187" s="279">
        <f>IF(Inputs!$G$81="as generated",0,Y190)</f>
        <v>0</v>
      </c>
      <c r="AA187" s="279">
        <f>IF(Inputs!$G$81="as generated",0,Z190)</f>
        <v>0</v>
      </c>
      <c r="AB187" s="279">
        <f>IF(Inputs!$G$81="as generated",0,AA190)</f>
        <v>0</v>
      </c>
      <c r="AC187" s="279">
        <f>IF(Inputs!$G$81="as generated",0,AB190)</f>
        <v>0</v>
      </c>
      <c r="AD187" s="279">
        <f>IF(Inputs!$G$81="as generated",0,AC190)</f>
        <v>0</v>
      </c>
      <c r="AE187" s="279">
        <f>IF(Inputs!$G$81="as generated",0,AD190)</f>
        <v>0</v>
      </c>
      <c r="AF187" s="279">
        <f>IF(Inputs!$G$81="as generated",0,AE190)</f>
        <v>0</v>
      </c>
      <c r="AG187" s="279">
        <f>IF(Inputs!$G$81="as generated",0,AF190)</f>
        <v>0</v>
      </c>
      <c r="AH187" s="279">
        <f>IF(Inputs!$G$81="as generated",0,AG190)</f>
        <v>0</v>
      </c>
      <c r="AI187" s="279">
        <f>IF(Inputs!$G$81="as generated",0,AH190)</f>
        <v>0</v>
      </c>
      <c r="AJ187" s="279">
        <f>IF(Inputs!$G$81="as generated",0,AI190)</f>
        <v>0</v>
      </c>
    </row>
    <row r="188" spans="2:36" s="29" customFormat="1" ht="16">
      <c r="B188" s="259" t="s">
        <v>272</v>
      </c>
      <c r="C188" s="259"/>
      <c r="D188" s="259"/>
      <c r="E188" s="259"/>
      <c r="F188" s="274"/>
      <c r="G188" s="279">
        <f>IF(Inputs!$G$81="as generated",0,IF(G185&lt;=0,G182,0))</f>
        <v>0</v>
      </c>
      <c r="H188" s="279">
        <f>IF(Inputs!$G$81="as generated",0,IF(H185&lt;=0,H182,0))</f>
        <v>0</v>
      </c>
      <c r="I188" s="279">
        <f>IF(Inputs!$G$81="as generated",0,IF(I185&lt;=0,I182,0))</f>
        <v>0</v>
      </c>
      <c r="J188" s="279">
        <f>IF(Inputs!$G$81="as generated",0,IF(J185&lt;=0,J182,0))</f>
        <v>0</v>
      </c>
      <c r="K188" s="279">
        <f>IF(Inputs!$G$81="as generated",0,IF(K185&lt;=0,K182,0))</f>
        <v>0</v>
      </c>
      <c r="L188" s="279">
        <f>IF(Inputs!$G$81="as generated",0,IF(L185&lt;=0,L182,0))</f>
        <v>0</v>
      </c>
      <c r="M188" s="279">
        <f>IF(Inputs!$G$81="as generated",0,IF(M185&lt;=0,M182,0))</f>
        <v>0</v>
      </c>
      <c r="N188" s="279">
        <f>IF(Inputs!$G$81="as generated",0,IF(N185&lt;=0,N182,0))</f>
        <v>0</v>
      </c>
      <c r="O188" s="279">
        <f>IF(Inputs!$G$81="as generated",0,IF(O185&lt;=0,O182,0))</f>
        <v>0</v>
      </c>
      <c r="P188" s="279">
        <f>IF(Inputs!$G$81="as generated",0,IF(P185&lt;=0,P182,0))</f>
        <v>0</v>
      </c>
      <c r="Q188" s="279">
        <f>IF(Inputs!$G$81="as generated",0,IF(Q185&lt;=0,Q182,0))</f>
        <v>0</v>
      </c>
      <c r="R188" s="279">
        <f>IF(Inputs!$G$81="as generated",0,IF(R185&lt;=0,R182,0))</f>
        <v>0</v>
      </c>
      <c r="S188" s="279">
        <f>IF(Inputs!$G$81="as generated",0,IF(S185&lt;=0,S182,0))</f>
        <v>0</v>
      </c>
      <c r="T188" s="279">
        <f>IF(Inputs!$G$81="as generated",0,IF(T185&lt;=0,T182,0))</f>
        <v>0</v>
      </c>
      <c r="U188" s="279">
        <f>IF(Inputs!$G$81="as generated",0,IF(U185&lt;=0,U182,0))</f>
        <v>0</v>
      </c>
      <c r="V188" s="279">
        <f>IF(Inputs!$G$81="as generated",0,IF(V185&lt;=0,V182,0))</f>
        <v>0</v>
      </c>
      <c r="W188" s="279">
        <f>IF(Inputs!$G$81="as generated",0,IF(W185&lt;=0,W182,0))</f>
        <v>0</v>
      </c>
      <c r="X188" s="279">
        <f>IF(Inputs!$G$81="as generated",0,IF(X185&lt;=0,X182,0))</f>
        <v>0</v>
      </c>
      <c r="Y188" s="279">
        <f>IF(Inputs!$G$81="as generated",0,IF(Y185&lt;=0,Y182,0))</f>
        <v>0</v>
      </c>
      <c r="Z188" s="279">
        <f>IF(Inputs!$G$81="as generated",0,IF(Z185&lt;=0,Z182,0))</f>
        <v>0</v>
      </c>
      <c r="AA188" s="279">
        <f>IF(Inputs!$G$81="as generated",0,IF(AA185&lt;=0,AA182,0))</f>
        <v>0</v>
      </c>
      <c r="AB188" s="279">
        <f>IF(Inputs!$G$81="as generated",0,IF(AB185&lt;=0,AB182,0))</f>
        <v>0</v>
      </c>
      <c r="AC188" s="279">
        <f>IF(Inputs!$G$81="as generated",0,IF(AC185&lt;=0,AC182,0))</f>
        <v>0</v>
      </c>
      <c r="AD188" s="279">
        <f>IF(Inputs!$G$81="as generated",0,IF(AD185&lt;=0,AD182,0))</f>
        <v>0</v>
      </c>
      <c r="AE188" s="279">
        <f>IF(Inputs!$G$81="as generated",0,IF(AE185&lt;=0,AE182,0))</f>
        <v>0</v>
      </c>
      <c r="AF188" s="279">
        <f>IF(Inputs!$G$81="as generated",0,IF(AF185&lt;=0,AF182,0))</f>
        <v>0</v>
      </c>
      <c r="AG188" s="279">
        <f>IF(Inputs!$G$81="as generated",0,IF(AG185&lt;=0,AG182,0))</f>
        <v>0</v>
      </c>
      <c r="AH188" s="279">
        <f>IF(Inputs!$G$81="as generated",0,IF(AH185&lt;=0,AH182,0))</f>
        <v>0</v>
      </c>
      <c r="AI188" s="279">
        <f>IF(Inputs!$G$81="as generated",0,IF(AI185&lt;=0,AI182,0))</f>
        <v>0</v>
      </c>
      <c r="AJ188" s="279">
        <f>IF(Inputs!$G$81="as generated",0,IF(AJ185&lt;=0,AJ182,0))</f>
        <v>0</v>
      </c>
    </row>
    <row r="189" spans="2:36" s="29" customFormat="1" ht="16">
      <c r="B189" s="259" t="s">
        <v>273</v>
      </c>
      <c r="C189" s="259"/>
      <c r="D189" s="259"/>
      <c r="E189" s="259"/>
      <c r="F189" s="274"/>
      <c r="G189" s="279">
        <f>IF(Inputs!$G$81="as generated",0,IF(G$185&lt;0,MAX(G$185,-G$188),0))</f>
        <v>0</v>
      </c>
      <c r="H189" s="279">
        <f>IF(Inputs!$G$81="as generated",0,IF(H$185&lt;0,MAX(H$185,-G$190),0))</f>
        <v>0</v>
      </c>
      <c r="I189" s="279">
        <f>IF(Inputs!$G$81="as generated",0,IF(I$185&lt;0,MAX(I$185,-H$190),0))</f>
        <v>0</v>
      </c>
      <c r="J189" s="279">
        <f>IF(Inputs!$G$81="as generated",0,IF(J$185&lt;0,MAX(J$185,-I$190),0))</f>
        <v>0</v>
      </c>
      <c r="K189" s="279">
        <f>IF(Inputs!$G$81="as generated",0,IF(K$185&lt;0,MAX(K$185,-J$190),0))</f>
        <v>0</v>
      </c>
      <c r="L189" s="279">
        <f>IF(Inputs!$G$81="as generated",0,IF(L$185&lt;0,MAX(L$185,-K$190),0))</f>
        <v>0</v>
      </c>
      <c r="M189" s="279">
        <f>IF(Inputs!$G$81="as generated",0,IF(M$185&lt;0,MAX(M$185,-L$190),0))</f>
        <v>0</v>
      </c>
      <c r="N189" s="279">
        <f>IF(Inputs!$G$81="as generated",0,IF(N$185&lt;0,MAX(N$185,-M$190),0))</f>
        <v>0</v>
      </c>
      <c r="O189" s="279">
        <f>IF(Inputs!$G$81="as generated",0,IF(O$185&lt;0,MAX(O$185,-N$190),0))</f>
        <v>0</v>
      </c>
      <c r="P189" s="279">
        <f>IF(Inputs!$G$81="as generated",0,IF(P$185&lt;0,MAX(P$185,-O$190),0))</f>
        <v>0</v>
      </c>
      <c r="Q189" s="279">
        <f>IF(Inputs!$G$81="as generated",0,IF(Q$185&lt;0,MAX(Q$185,-P$190),0))</f>
        <v>0</v>
      </c>
      <c r="R189" s="279">
        <f>IF(Inputs!$G$81="as generated",0,IF(R$185&lt;0,MAX(R$185,-Q$190),0))</f>
        <v>0</v>
      </c>
      <c r="S189" s="279">
        <f>IF(Inputs!$G$81="as generated",0,IF(S$185&lt;0,MAX(S$185,-R$190),0))</f>
        <v>0</v>
      </c>
      <c r="T189" s="279">
        <f>IF(Inputs!$G$81="as generated",0,IF(T$185&lt;0,MAX(T$185,-S$190),0))</f>
        <v>0</v>
      </c>
      <c r="U189" s="279">
        <f>IF(Inputs!$G$81="as generated",0,IF(U$185&lt;0,MAX(U$185,-T$190),0))</f>
        <v>0</v>
      </c>
      <c r="V189" s="279">
        <f>IF(Inputs!$G$81="as generated",0,IF(V$185&lt;0,MAX(V$185,-U$190),0))</f>
        <v>0</v>
      </c>
      <c r="W189" s="279">
        <f>IF(Inputs!$G$81="as generated",0,IF(W$185&lt;0,MAX(W$185,-V$190),0))</f>
        <v>0</v>
      </c>
      <c r="X189" s="279">
        <f>IF(Inputs!$G$81="as generated",0,IF(X$185&lt;0,MAX(X$185,-W$190),0))</f>
        <v>0</v>
      </c>
      <c r="Y189" s="279">
        <f>IF(Inputs!$G$81="as generated",0,IF(Y$185&lt;0,MAX(Y$185,-X$190),0))</f>
        <v>0</v>
      </c>
      <c r="Z189" s="279">
        <f>IF(Inputs!$G$81="as generated",0,IF(Z$185&lt;0,MAX(Z$185,-Y$190),0))</f>
        <v>0</v>
      </c>
      <c r="AA189" s="279">
        <f>IF(Inputs!$G$81="as generated",0,IF(AA$185&lt;0,MAX(AA$185,-Z$190),0))</f>
        <v>0</v>
      </c>
      <c r="AB189" s="279">
        <f>IF(Inputs!$G$81="as generated",0,IF(AB$185&lt;0,MAX(AB$185,-AA$190),0))</f>
        <v>0</v>
      </c>
      <c r="AC189" s="279">
        <f>IF(Inputs!$G$81="as generated",0,IF(AC$185&lt;0,MAX(AC$185,-AB$190),0))</f>
        <v>0</v>
      </c>
      <c r="AD189" s="279">
        <f>IF(Inputs!$G$81="as generated",0,IF(AD$185&lt;0,MAX(AD$185,-AC$190),0))</f>
        <v>0</v>
      </c>
      <c r="AE189" s="279">
        <f>IF(Inputs!$G$81="as generated",0,IF(AE$185&lt;0,MAX(AE$185,-AD$190),0))</f>
        <v>0</v>
      </c>
      <c r="AF189" s="279">
        <f>IF(Inputs!$G$81="as generated",0,IF(AF$185&lt;0,MAX(AF$185,-AE$190),0))</f>
        <v>0</v>
      </c>
      <c r="AG189" s="279">
        <f>IF(Inputs!$G$81="as generated",0,IF(AG$185&lt;0,MAX(AG$185,-AF$190),0))</f>
        <v>0</v>
      </c>
      <c r="AH189" s="279">
        <f>IF(Inputs!$G$81="as generated",0,IF(AH$185&lt;0,MAX(AH$185,-AG$190),0))</f>
        <v>0</v>
      </c>
      <c r="AI189" s="279">
        <f>IF(Inputs!$G$81="as generated",0,IF(AI$185&lt;0,MAX(AI$185,-AH$190),0))</f>
        <v>0</v>
      </c>
      <c r="AJ189" s="279">
        <f>IF(Inputs!$G$81="as generated",0,IF(AJ$185&lt;0,MAX(AJ$185,-AI$190),0))</f>
        <v>0</v>
      </c>
    </row>
    <row r="190" spans="2:36" s="29" customFormat="1" ht="16">
      <c r="B190" s="259" t="s">
        <v>274</v>
      </c>
      <c r="C190" s="259"/>
      <c r="D190" s="259"/>
      <c r="E190" s="259"/>
      <c r="F190" s="279">
        <v>0</v>
      </c>
      <c r="G190" s="279">
        <f>SUM(G187:G189)</f>
        <v>0</v>
      </c>
      <c r="H190" s="279">
        <f t="shared" ref="H190:AJ190" si="62">SUM(H187:H189)</f>
        <v>0</v>
      </c>
      <c r="I190" s="279">
        <f t="shared" si="62"/>
        <v>0</v>
      </c>
      <c r="J190" s="279">
        <f t="shared" si="62"/>
        <v>0</v>
      </c>
      <c r="K190" s="279">
        <f t="shared" si="62"/>
        <v>0</v>
      </c>
      <c r="L190" s="279">
        <f t="shared" si="62"/>
        <v>0</v>
      </c>
      <c r="M190" s="279">
        <f t="shared" si="62"/>
        <v>0</v>
      </c>
      <c r="N190" s="279">
        <f t="shared" si="62"/>
        <v>0</v>
      </c>
      <c r="O190" s="279">
        <f t="shared" si="62"/>
        <v>0</v>
      </c>
      <c r="P190" s="279">
        <f t="shared" si="62"/>
        <v>0</v>
      </c>
      <c r="Q190" s="279">
        <f t="shared" si="62"/>
        <v>0</v>
      </c>
      <c r="R190" s="279">
        <f t="shared" si="62"/>
        <v>0</v>
      </c>
      <c r="S190" s="279">
        <f t="shared" si="62"/>
        <v>0</v>
      </c>
      <c r="T190" s="279">
        <f t="shared" si="62"/>
        <v>0</v>
      </c>
      <c r="U190" s="279">
        <f t="shared" si="62"/>
        <v>0</v>
      </c>
      <c r="V190" s="279">
        <f t="shared" si="62"/>
        <v>0</v>
      </c>
      <c r="W190" s="279">
        <f t="shared" si="62"/>
        <v>0</v>
      </c>
      <c r="X190" s="279">
        <f t="shared" si="62"/>
        <v>0</v>
      </c>
      <c r="Y190" s="279">
        <f t="shared" si="62"/>
        <v>0</v>
      </c>
      <c r="Z190" s="279">
        <f t="shared" si="62"/>
        <v>0</v>
      </c>
      <c r="AA190" s="279">
        <f t="shared" si="62"/>
        <v>0</v>
      </c>
      <c r="AB190" s="279">
        <f t="shared" si="62"/>
        <v>0</v>
      </c>
      <c r="AC190" s="279">
        <f t="shared" si="62"/>
        <v>0</v>
      </c>
      <c r="AD190" s="279">
        <f t="shared" si="62"/>
        <v>0</v>
      </c>
      <c r="AE190" s="279">
        <f t="shared" si="62"/>
        <v>0</v>
      </c>
      <c r="AF190" s="279">
        <f t="shared" si="62"/>
        <v>0</v>
      </c>
      <c r="AG190" s="279">
        <f t="shared" si="62"/>
        <v>0</v>
      </c>
      <c r="AH190" s="279">
        <f t="shared" si="62"/>
        <v>0</v>
      </c>
      <c r="AI190" s="279">
        <f t="shared" si="62"/>
        <v>0</v>
      </c>
      <c r="AJ190" s="279">
        <f t="shared" si="62"/>
        <v>0</v>
      </c>
    </row>
    <row r="191" spans="2:36" s="29" customFormat="1" ht="16">
      <c r="B191" s="259"/>
      <c r="C191" s="259"/>
      <c r="D191" s="259"/>
      <c r="E191" s="259"/>
      <c r="F191" s="274"/>
      <c r="G191" s="274"/>
      <c r="H191" s="285"/>
      <c r="I191" s="259"/>
      <c r="J191" s="259"/>
      <c r="K191" s="259"/>
      <c r="L191" s="259"/>
      <c r="M191" s="259"/>
      <c r="N191" s="259"/>
      <c r="O191" s="259"/>
      <c r="P191" s="259"/>
      <c r="Q191" s="259"/>
      <c r="R191" s="259"/>
      <c r="S191" s="259"/>
      <c r="T191" s="259"/>
      <c r="U191" s="259"/>
      <c r="V191" s="259"/>
      <c r="W191" s="259"/>
      <c r="X191" s="259"/>
      <c r="Y191" s="259"/>
      <c r="Z191" s="259"/>
      <c r="AA191" s="259"/>
      <c r="AB191" s="259"/>
      <c r="AC191" s="259"/>
      <c r="AD191" s="259"/>
      <c r="AE191" s="259"/>
      <c r="AF191" s="259"/>
      <c r="AG191" s="259"/>
      <c r="AH191" s="259"/>
      <c r="AI191" s="259"/>
      <c r="AJ191" s="259"/>
    </row>
    <row r="192" spans="2:36" s="29" customFormat="1" ht="16">
      <c r="B192" s="258" t="s">
        <v>235</v>
      </c>
      <c r="C192" s="258"/>
      <c r="D192" s="258"/>
      <c r="E192" s="259"/>
      <c r="F192" s="274"/>
      <c r="G192" s="284"/>
      <c r="H192" s="285"/>
      <c r="I192" s="259"/>
      <c r="J192" s="259"/>
      <c r="K192" s="259"/>
      <c r="L192" s="259"/>
      <c r="M192" s="259"/>
      <c r="N192" s="259"/>
      <c r="O192" s="259"/>
      <c r="P192" s="259"/>
      <c r="Q192" s="259"/>
      <c r="R192" s="259"/>
      <c r="S192" s="259"/>
      <c r="T192" s="259"/>
      <c r="U192" s="259"/>
      <c r="V192" s="259"/>
      <c r="W192" s="259"/>
      <c r="X192" s="259"/>
      <c r="Y192" s="259"/>
      <c r="Z192" s="259"/>
      <c r="AA192" s="259"/>
      <c r="AB192" s="259"/>
      <c r="AC192" s="259"/>
      <c r="AD192" s="259"/>
      <c r="AE192" s="259"/>
      <c r="AF192" s="259"/>
      <c r="AG192" s="259"/>
      <c r="AH192" s="259"/>
      <c r="AI192" s="259"/>
      <c r="AJ192" s="259"/>
    </row>
    <row r="193" spans="2:36" s="29" customFormat="1" ht="16">
      <c r="B193" s="259" t="s">
        <v>232</v>
      </c>
      <c r="C193" s="259"/>
      <c r="D193" s="259"/>
      <c r="E193" s="259"/>
      <c r="F193" s="274"/>
      <c r="G193" s="345">
        <f>IF(OR(Inputs!$G$79="No",Inputs!$Q$38="Performance-Based",Inputs!$Q$38="Neither"),0,IF(G$2&lt;=Inputs!$Q$41,($C$109*(Inputs!$Q$39*(1-Inputs!$G$80))*Inputs!$Q$40)/Inputs!$Q$41,0))</f>
        <v>0</v>
      </c>
      <c r="H193" s="345">
        <f>IF(OR(Inputs!$G$79="No",Inputs!$Q$38="Performance-Based",Inputs!$Q$38="Neither"),0,IF(H$2&lt;=Inputs!$Q$41,($C$109*(Inputs!$Q$39*(1-Inputs!$G$80))*Inputs!$Q$40)/Inputs!$Q$41,0))</f>
        <v>0</v>
      </c>
      <c r="I193" s="345">
        <f>IF(OR(Inputs!$G$79="No",Inputs!$Q$38="Performance-Based",Inputs!$Q$38="Neither"),0,IF(I$2&lt;=Inputs!$Q$41,($C$109*(Inputs!$Q$39*(1-Inputs!$G$80))*Inputs!$Q$40)/Inputs!$Q$41,0))</f>
        <v>0</v>
      </c>
      <c r="J193" s="345">
        <f>IF(OR(Inputs!$G$79="No",Inputs!$Q$38="Performance-Based",Inputs!$Q$38="Neither"),0,IF(J$2&lt;=Inputs!$Q$41,($C$109*(Inputs!$Q$39*(1-Inputs!$G$80))*Inputs!$Q$40)/Inputs!$Q$41,0))</f>
        <v>0</v>
      </c>
      <c r="K193" s="345">
        <f>IF(OR(Inputs!$G$79="No",Inputs!$Q$38="Performance-Based",Inputs!$Q$38="Neither"),0,IF(K$2&lt;=Inputs!$Q$41,($C$109*(Inputs!$Q$39*(1-Inputs!$G$80))*Inputs!$Q$40)/Inputs!$Q$41,0))</f>
        <v>0</v>
      </c>
      <c r="L193" s="345">
        <f>IF(OR(Inputs!$G$79="No",Inputs!$Q$38="Performance-Based",Inputs!$Q$38="Neither"),0,IF(L$2&lt;=Inputs!$Q$41,($C$109*(Inputs!$Q$39*(1-Inputs!$G$80))*Inputs!$Q$40)/Inputs!$Q$41,0))</f>
        <v>0</v>
      </c>
      <c r="M193" s="345">
        <f>IF(OR(Inputs!$G$79="No",Inputs!$Q$38="Performance-Based",Inputs!$Q$38="Neither"),0,IF(M$2&lt;=Inputs!$Q$41,($C$109*(Inputs!$Q$39*(1-Inputs!$G$80))*Inputs!$Q$40)/Inputs!$Q$41,0))</f>
        <v>0</v>
      </c>
      <c r="N193" s="345">
        <f>IF(OR(Inputs!$G$79="No",Inputs!$Q$38="Performance-Based",Inputs!$Q$38="Neither"),0,IF(N$2&lt;=Inputs!$Q$41,($C$109*(Inputs!$Q$39*(1-Inputs!$G$80))*Inputs!$Q$40)/Inputs!$Q$41,0))</f>
        <v>0</v>
      </c>
      <c r="O193" s="345">
        <f>IF(OR(Inputs!$G$79="No",Inputs!$Q$38="Performance-Based",Inputs!$Q$38="Neither"),0,IF(O$2&lt;=Inputs!$Q$41,($C$109*(Inputs!$Q$39*(1-Inputs!$G$80))*Inputs!$Q$40)/Inputs!$Q$41,0))</f>
        <v>0</v>
      </c>
      <c r="P193" s="345">
        <f>IF(OR(Inputs!$G$79="No",Inputs!$Q$38="Performance-Based",Inputs!$Q$38="Neither"),0,IF(P$2&lt;=Inputs!$Q$41,($C$109*(Inputs!$Q$39*(1-Inputs!$G$80))*Inputs!$Q$40)/Inputs!$Q$41,0))</f>
        <v>0</v>
      </c>
      <c r="Q193" s="345">
        <f>IF(OR(Inputs!$G$79="No",Inputs!$Q$38="Performance-Based",Inputs!$Q$38="Neither"),0,IF(Q$2&lt;=Inputs!$Q$41,($C$109*(Inputs!$Q$39*(1-Inputs!$G$80))*Inputs!$Q$40)/Inputs!$Q$41,0))</f>
        <v>0</v>
      </c>
      <c r="R193" s="345">
        <f>IF(OR(Inputs!$G$79="No",Inputs!$Q$38="Performance-Based",Inputs!$Q$38="Neither"),0,IF(R$2&lt;=Inputs!$Q$41,($C$109*(Inputs!$Q$39*(1-Inputs!$G$80))*Inputs!$Q$40)/Inputs!$Q$41,0))</f>
        <v>0</v>
      </c>
      <c r="S193" s="345">
        <f>IF(OR(Inputs!$G$79="No",Inputs!$Q$38="Performance-Based",Inputs!$Q$38="Neither"),0,IF(S$2&lt;=Inputs!$Q$41,($C$109*(Inputs!$Q$39*(1-Inputs!$G$80))*Inputs!$Q$40)/Inputs!$Q$41,0))</f>
        <v>0</v>
      </c>
      <c r="T193" s="345">
        <f>IF(OR(Inputs!$G$79="No",Inputs!$Q$38="Performance-Based",Inputs!$Q$38="Neither"),0,IF(T$2&lt;=Inputs!$Q$41,($C$109*(Inputs!$Q$39*(1-Inputs!$G$80))*Inputs!$Q$40)/Inputs!$Q$41,0))</f>
        <v>0</v>
      </c>
      <c r="U193" s="345">
        <f>IF(OR(Inputs!$G$79="No",Inputs!$Q$38="Performance-Based",Inputs!$Q$38="Neither"),0,IF(U$2&lt;=Inputs!$Q$41,($C$109*(Inputs!$Q$39*(1-Inputs!$G$80))*Inputs!$Q$40)/Inputs!$Q$41,0))</f>
        <v>0</v>
      </c>
      <c r="V193" s="345">
        <f>IF(OR(Inputs!$G$79="No",Inputs!$Q$38="Performance-Based",Inputs!$Q$38="Neither"),0,IF(V$2&lt;=Inputs!$Q$41,($C$109*(Inputs!$Q$39*(1-Inputs!$G$80))*Inputs!$Q$40)/Inputs!$Q$41,0))</f>
        <v>0</v>
      </c>
      <c r="W193" s="345">
        <f>IF(OR(Inputs!$G$79="No",Inputs!$Q$38="Performance-Based",Inputs!$Q$38="Neither"),0,IF(W$2&lt;=Inputs!$Q$41,($C$109*(Inputs!$Q$39*(1-Inputs!$G$80))*Inputs!$Q$40)/Inputs!$Q$41,0))</f>
        <v>0</v>
      </c>
      <c r="X193" s="345">
        <f>IF(OR(Inputs!$G$79="No",Inputs!$Q$38="Performance-Based",Inputs!$Q$38="Neither"),0,IF(X$2&lt;=Inputs!$Q$41,($C$109*(Inputs!$Q$39*(1-Inputs!$G$80))*Inputs!$Q$40)/Inputs!$Q$41,0))</f>
        <v>0</v>
      </c>
      <c r="Y193" s="345">
        <f>IF(OR(Inputs!$G$79="No",Inputs!$Q$38="Performance-Based",Inputs!$Q$38="Neither"),0,IF(Y$2&lt;=Inputs!$Q$41,($C$109*(Inputs!$Q$39*(1-Inputs!$G$80))*Inputs!$Q$40)/Inputs!$Q$41,0))</f>
        <v>0</v>
      </c>
      <c r="Z193" s="345">
        <f>IF(OR(Inputs!$G$79="No",Inputs!$Q$38="Performance-Based",Inputs!$Q$38="Neither"),0,IF(Z$2&lt;=Inputs!$Q$41,($C$109*(Inputs!$Q$39*(1-Inputs!$G$80))*Inputs!$Q$40)/Inputs!$Q$41,0))</f>
        <v>0</v>
      </c>
      <c r="AA193" s="345">
        <f>IF(OR(Inputs!$G$79="No",Inputs!$Q$38="Performance-Based",Inputs!$Q$38="Neither"),0,IF(AA$2&lt;=Inputs!$Q$41,($C$109*(Inputs!$Q$39*(1-Inputs!$G$80))*Inputs!$Q$40)/Inputs!$Q$41,0))</f>
        <v>0</v>
      </c>
      <c r="AB193" s="345">
        <f>IF(OR(Inputs!$G$79="No",Inputs!$Q$38="Performance-Based",Inputs!$Q$38="Neither"),0,IF(AB$2&lt;=Inputs!$Q$41,($C$109*(Inputs!$Q$39*(1-Inputs!$G$80))*Inputs!$Q$40)/Inputs!$Q$41,0))</f>
        <v>0</v>
      </c>
      <c r="AC193" s="345">
        <f>IF(OR(Inputs!$G$79="No",Inputs!$Q$38="Performance-Based",Inputs!$Q$38="Neither"),0,IF(AC$2&lt;=Inputs!$Q$41,($C$109*(Inputs!$Q$39*(1-Inputs!$G$80))*Inputs!$Q$40)/Inputs!$Q$41,0))</f>
        <v>0</v>
      </c>
      <c r="AD193" s="345">
        <f>IF(OR(Inputs!$G$79="No",Inputs!$Q$38="Performance-Based",Inputs!$Q$38="Neither"),0,IF(AD$2&lt;=Inputs!$Q$41,($C$109*(Inputs!$Q$39*(1-Inputs!$G$80))*Inputs!$Q$40)/Inputs!$Q$41,0))</f>
        <v>0</v>
      </c>
      <c r="AE193" s="345">
        <f>IF(OR(Inputs!$G$79="No",Inputs!$Q$38="Performance-Based",Inputs!$Q$38="Neither"),0,IF(AE$2&lt;=Inputs!$Q$41,($C$109*(Inputs!$Q$39*(1-Inputs!$G$80))*Inputs!$Q$40)/Inputs!$Q$41,0))</f>
        <v>0</v>
      </c>
      <c r="AF193" s="345">
        <f>IF(OR(Inputs!$G$79="No",Inputs!$Q$38="Performance-Based",Inputs!$Q$38="Neither"),0,IF(AF$2&lt;=Inputs!$Q$41,($C$109*(Inputs!$Q$39*(1-Inputs!$G$80))*Inputs!$Q$40)/Inputs!$Q$41,0))</f>
        <v>0</v>
      </c>
      <c r="AG193" s="345">
        <f>IF(OR(Inputs!$G$79="No",Inputs!$Q$38="Performance-Based",Inputs!$Q$38="Neither"),0,IF(AG$2&lt;=Inputs!$Q$41,($C$109*(Inputs!$Q$39*(1-Inputs!$G$80))*Inputs!$Q$40)/Inputs!$Q$41,0))</f>
        <v>0</v>
      </c>
      <c r="AH193" s="345">
        <f>IF(OR(Inputs!$G$79="No",Inputs!$Q$38="Performance-Based",Inputs!$Q$38="Neither"),0,IF(AH$2&lt;=Inputs!$Q$41,($C$109*(Inputs!$Q$39*(1-Inputs!$G$80))*Inputs!$Q$40)/Inputs!$Q$41,0))</f>
        <v>0</v>
      </c>
      <c r="AI193" s="345">
        <f>IF(OR(Inputs!$G$79="No",Inputs!$Q$38="Performance-Based",Inputs!$Q$38="Neither"),0,IF(AI$2&lt;=Inputs!$Q$41,($C$109*(Inputs!$Q$39*(1-Inputs!$G$80))*Inputs!$Q$40)/Inputs!$Q$41,0))</f>
        <v>0</v>
      </c>
      <c r="AJ193" s="345">
        <f>IF(OR(Inputs!$G$79="No",Inputs!$Q$38="Performance-Based",Inputs!$Q$38="Neither"),0,IF(AJ$2&lt;=Inputs!$Q$41,($C$109*(Inputs!$Q$39*(1-Inputs!$G$80))*Inputs!$Q$40)/Inputs!$Q$41,0))</f>
        <v>0</v>
      </c>
    </row>
    <row r="194" spans="2:36" s="29" customFormat="1" ht="16">
      <c r="B194" s="259" t="s">
        <v>192</v>
      </c>
      <c r="C194" s="259"/>
      <c r="D194" s="259"/>
      <c r="E194" s="259"/>
      <c r="F194" s="274"/>
      <c r="G194" s="279">
        <f>IF(OR(Inputs!$G$79="No",Inputs!$Q$38="Cost-Based",Inputs!$Q$38="Neither"),0,IF(Inputs!$Q$43="Tax Credit",IF(G$2&gt;Inputs!$Q$48,0,IF(Inputs!$Q$44=0,Inputs!$Q$46/100*G$17*Inputs!$Q$47*G$10,MIN(Inputs!$Q$44,Inputs!$Q$46/100*G$17*Inputs!$Q$47*G$10))),0))</f>
        <v>0</v>
      </c>
      <c r="H194" s="279">
        <f>IF(OR(Inputs!$G$79="No",Inputs!$Q$38="Cost-Based",Inputs!$Q$38="Neither"),0,IF(Inputs!$Q$43="Tax Credit",IF(H$2&gt;Inputs!$Q$48,0,IF(Inputs!$Q$44=0,Inputs!$Q$46/100*H$17*Inputs!$Q$47*H$10,MIN(Inputs!$Q$44,Inputs!$Q$46/100*H$17*Inputs!$Q$47*H$10))),0))</f>
        <v>0</v>
      </c>
      <c r="I194" s="279">
        <f>IF(OR(Inputs!$G$79="No",Inputs!$Q$38="Cost-Based",Inputs!$Q$38="Neither"),0,IF(Inputs!$Q$43="Tax Credit",IF(I$2&gt;Inputs!$Q$48,0,IF(Inputs!$Q$44=0,Inputs!$Q$46/100*I$17*Inputs!$Q$47*I$10,MIN(Inputs!$Q$44,Inputs!$Q$46/100*I$17*Inputs!$Q$47*I$10))),0))</f>
        <v>0</v>
      </c>
      <c r="J194" s="279">
        <f>IF(OR(Inputs!$G$79="No",Inputs!$Q$38="Cost-Based",Inputs!$Q$38="Neither"),0,IF(Inputs!$Q$43="Tax Credit",IF(J$2&gt;Inputs!$Q$48,0,IF(Inputs!$Q$44=0,Inputs!$Q$46/100*J$17*Inputs!$Q$47*J$10,MIN(Inputs!$Q$44,Inputs!$Q$46/100*J$17*Inputs!$Q$47*J$10))),0))</f>
        <v>0</v>
      </c>
      <c r="K194" s="279">
        <f>IF(OR(Inputs!$G$79="No",Inputs!$Q$38="Cost-Based",Inputs!$Q$38="Neither"),0,IF(Inputs!$Q$43="Tax Credit",IF(K$2&gt;Inputs!$Q$48,0,IF(Inputs!$Q$44=0,Inputs!$Q$46/100*K$17*Inputs!$Q$47*K$10,MIN(Inputs!$Q$44,Inputs!$Q$46/100*K$17*Inputs!$Q$47*K$10))),0))</f>
        <v>0</v>
      </c>
      <c r="L194" s="279">
        <f>IF(OR(Inputs!$G$79="No",Inputs!$Q$38="Cost-Based",Inputs!$Q$38="Neither"),0,IF(Inputs!$Q$43="Tax Credit",IF(L$2&gt;Inputs!$Q$48,0,IF(Inputs!$Q$44=0,Inputs!$Q$46/100*L$17*Inputs!$Q$47*L$10,MIN(Inputs!$Q$44,Inputs!$Q$46/100*L$17*Inputs!$Q$47*L$10))),0))</f>
        <v>0</v>
      </c>
      <c r="M194" s="279">
        <f>IF(OR(Inputs!$G$79="No",Inputs!$Q$38="Cost-Based",Inputs!$Q$38="Neither"),0,IF(Inputs!$Q$43="Tax Credit",IF(M$2&gt;Inputs!$Q$48,0,IF(Inputs!$Q$44=0,Inputs!$Q$46/100*M$17*Inputs!$Q$47*M$10,MIN(Inputs!$Q$44,Inputs!$Q$46/100*M$17*Inputs!$Q$47*M$10))),0))</f>
        <v>0</v>
      </c>
      <c r="N194" s="279">
        <f>IF(OR(Inputs!$G$79="No",Inputs!$Q$38="Cost-Based",Inputs!$Q$38="Neither"),0,IF(Inputs!$Q$43="Tax Credit",IF(N$2&gt;Inputs!$Q$48,0,IF(Inputs!$Q$44=0,Inputs!$Q$46/100*N$17*Inputs!$Q$47*N$10,MIN(Inputs!$Q$44,Inputs!$Q$46/100*N$17*Inputs!$Q$47*N$10))),0))</f>
        <v>0</v>
      </c>
      <c r="O194" s="279">
        <f>IF(OR(Inputs!$G$79="No",Inputs!$Q$38="Cost-Based",Inputs!$Q$38="Neither"),0,IF(Inputs!$Q$43="Tax Credit",IF(O$2&gt;Inputs!$Q$48,0,IF(Inputs!$Q$44=0,Inputs!$Q$46/100*O$17*Inputs!$Q$47*O$10,MIN(Inputs!$Q$44,Inputs!$Q$46/100*O$17*Inputs!$Q$47*O$10))),0))</f>
        <v>0</v>
      </c>
      <c r="P194" s="279">
        <f>IF(OR(Inputs!$G$79="No",Inputs!$Q$38="Cost-Based",Inputs!$Q$38="Neither"),0,IF(Inputs!$Q$43="Tax Credit",IF(P$2&gt;Inputs!$Q$48,0,IF(Inputs!$Q$44=0,Inputs!$Q$46/100*P$17*Inputs!$Q$47*P$10,MIN(Inputs!$Q$44,Inputs!$Q$46/100*P$17*Inputs!$Q$47*P$10))),0))</f>
        <v>0</v>
      </c>
      <c r="Q194" s="279">
        <f>IF(OR(Inputs!$G$79="No",Inputs!$Q$38="Cost-Based",Inputs!$Q$38="Neither"),0,IF(Inputs!$Q$43="Tax Credit",IF(Q$2&gt;Inputs!$Q$48,0,IF(Inputs!$Q$44=0,Inputs!$Q$46/100*Q$17*Inputs!$Q$47*Q$10,MIN(Inputs!$Q$44,Inputs!$Q$46/100*Q$17*Inputs!$Q$47*Q$10))),0))</f>
        <v>0</v>
      </c>
      <c r="R194" s="279">
        <f>IF(OR(Inputs!$G$79="No",Inputs!$Q$38="Cost-Based",Inputs!$Q$38="Neither"),0,IF(Inputs!$Q$43="Tax Credit",IF(R$2&gt;Inputs!$Q$48,0,IF(Inputs!$Q$44=0,Inputs!$Q$46/100*R$17*Inputs!$Q$47*R$10,MIN(Inputs!$Q$44,Inputs!$Q$46/100*R$17*Inputs!$Q$47*R$10))),0))</f>
        <v>0</v>
      </c>
      <c r="S194" s="279">
        <f>IF(OR(Inputs!$G$79="No",Inputs!$Q$38="Cost-Based",Inputs!$Q$38="Neither"),0,IF(Inputs!$Q$43="Tax Credit",IF(S$2&gt;Inputs!$Q$48,0,IF(Inputs!$Q$44=0,Inputs!$Q$46/100*S$17*Inputs!$Q$47*S$10,MIN(Inputs!$Q$44,Inputs!$Q$46/100*S$17*Inputs!$Q$47*S$10))),0))</f>
        <v>0</v>
      </c>
      <c r="T194" s="279">
        <f>IF(OR(Inputs!$G$79="No",Inputs!$Q$38="Cost-Based",Inputs!$Q$38="Neither"),0,IF(Inputs!$Q$43="Tax Credit",IF(T$2&gt;Inputs!$Q$48,0,IF(Inputs!$Q$44=0,Inputs!$Q$46/100*T$17*Inputs!$Q$47*T$10,MIN(Inputs!$Q$44,Inputs!$Q$46/100*T$17*Inputs!$Q$47*T$10))),0))</f>
        <v>0</v>
      </c>
      <c r="U194" s="279">
        <f>IF(OR(Inputs!$G$79="No",Inputs!$Q$38="Cost-Based",Inputs!$Q$38="Neither"),0,IF(Inputs!$Q$43="Tax Credit",IF(U$2&gt;Inputs!$Q$48,0,IF(Inputs!$Q$44=0,Inputs!$Q$46/100*U$17*Inputs!$Q$47*U$10,MIN(Inputs!$Q$44,Inputs!$Q$46/100*U$17*Inputs!$Q$47*U$10))),0))</f>
        <v>0</v>
      </c>
      <c r="V194" s="279">
        <f>IF(OR(Inputs!$G$79="No",Inputs!$Q$38="Cost-Based",Inputs!$Q$38="Neither"),0,IF(Inputs!$Q$43="Tax Credit",IF(V$2&gt;Inputs!$Q$48,0,IF(Inputs!$Q$44=0,Inputs!$Q$46/100*V$17*Inputs!$Q$47*V$10,MIN(Inputs!$Q$44,Inputs!$Q$46/100*V$17*Inputs!$Q$47*V$10))),0))</f>
        <v>0</v>
      </c>
      <c r="W194" s="279">
        <f>IF(OR(Inputs!$G$79="No",Inputs!$Q$38="Cost-Based",Inputs!$Q$38="Neither"),0,IF(Inputs!$Q$43="Tax Credit",IF(W$2&gt;Inputs!$Q$48,0,IF(Inputs!$Q$44=0,Inputs!$Q$46/100*W$17*Inputs!$Q$47*W$10,MIN(Inputs!$Q$44,Inputs!$Q$46/100*W$17*Inputs!$Q$47*W$10))),0))</f>
        <v>0</v>
      </c>
      <c r="X194" s="279">
        <f>IF(OR(Inputs!$G$79="No",Inputs!$Q$38="Cost-Based",Inputs!$Q$38="Neither"),0,IF(Inputs!$Q$43="Tax Credit",IF(X$2&gt;Inputs!$Q$48,0,IF(Inputs!$Q$44=0,Inputs!$Q$46/100*X$17*Inputs!$Q$47*X$10,MIN(Inputs!$Q$44,Inputs!$Q$46/100*X$17*Inputs!$Q$47*X$10))),0))</f>
        <v>0</v>
      </c>
      <c r="Y194" s="279">
        <f>IF(OR(Inputs!$G$79="No",Inputs!$Q$38="Cost-Based",Inputs!$Q$38="Neither"),0,IF(Inputs!$Q$43="Tax Credit",IF(Y$2&gt;Inputs!$Q$48,0,IF(Inputs!$Q$44=0,Inputs!$Q$46/100*Y$17*Inputs!$Q$47*Y$10,MIN(Inputs!$Q$44,Inputs!$Q$46/100*Y$17*Inputs!$Q$47*Y$10))),0))</f>
        <v>0</v>
      </c>
      <c r="Z194" s="279">
        <f>IF(OR(Inputs!$G$79="No",Inputs!$Q$38="Cost-Based",Inputs!$Q$38="Neither"),0,IF(Inputs!$Q$43="Tax Credit",IF(Z$2&gt;Inputs!$Q$48,0,IF(Inputs!$Q$44=0,Inputs!$Q$46/100*Z$17*Inputs!$Q$47*Z$10,MIN(Inputs!$Q$44,Inputs!$Q$46/100*Z$17*Inputs!$Q$47*Z$10))),0))</f>
        <v>0</v>
      </c>
      <c r="AA194" s="279">
        <f>IF(OR(Inputs!$G$79="No",Inputs!$Q$38="Cost-Based",Inputs!$Q$38="Neither"),0,IF(Inputs!$Q$43="Tax Credit",IF(AA$2&gt;Inputs!$Q$48,0,IF(Inputs!$Q$44=0,Inputs!$Q$46/100*AA$17*Inputs!$Q$47*AA$10,MIN(Inputs!$Q$44,Inputs!$Q$46/100*AA$17*Inputs!$Q$47*AA$10))),0))</f>
        <v>0</v>
      </c>
      <c r="AB194" s="279">
        <f>IF(OR(Inputs!$G$79="No",Inputs!$Q$38="Cost-Based",Inputs!$Q$38="Neither"),0,IF(Inputs!$Q$43="Tax Credit",IF(AB$2&gt;Inputs!$Q$48,0,IF(Inputs!$Q$44=0,Inputs!$Q$46/100*AB$17*Inputs!$Q$47*AB$10,MIN(Inputs!$Q$44,Inputs!$Q$46/100*AB$17*Inputs!$Q$47*AB$10))),0))</f>
        <v>0</v>
      </c>
      <c r="AC194" s="279">
        <f>IF(OR(Inputs!$G$79="No",Inputs!$Q$38="Cost-Based",Inputs!$Q$38="Neither"),0,IF(Inputs!$Q$43="Tax Credit",IF(AC$2&gt;Inputs!$Q$48,0,IF(Inputs!$Q$44=0,Inputs!$Q$46/100*AC$17*Inputs!$Q$47*AC$10,MIN(Inputs!$Q$44,Inputs!$Q$46/100*AC$17*Inputs!$Q$47*AC$10))),0))</f>
        <v>0</v>
      </c>
      <c r="AD194" s="279">
        <f>IF(OR(Inputs!$G$79="No",Inputs!$Q$38="Cost-Based",Inputs!$Q$38="Neither"),0,IF(Inputs!$Q$43="Tax Credit",IF(AD$2&gt;Inputs!$Q$48,0,IF(Inputs!$Q$44=0,Inputs!$Q$46/100*AD$17*Inputs!$Q$47*AD$10,MIN(Inputs!$Q$44,Inputs!$Q$46/100*AD$17*Inputs!$Q$47*AD$10))),0))</f>
        <v>0</v>
      </c>
      <c r="AE194" s="279">
        <f>IF(OR(Inputs!$G$79="No",Inputs!$Q$38="Cost-Based",Inputs!$Q$38="Neither"),0,IF(Inputs!$Q$43="Tax Credit",IF(AE$2&gt;Inputs!$Q$48,0,IF(Inputs!$Q$44=0,Inputs!$Q$46/100*AE$17*Inputs!$Q$47*AE$10,MIN(Inputs!$Q$44,Inputs!$Q$46/100*AE$17*Inputs!$Q$47*AE$10))),0))</f>
        <v>0</v>
      </c>
      <c r="AF194" s="279">
        <f>IF(OR(Inputs!$G$79="No",Inputs!$Q$38="Cost-Based",Inputs!$Q$38="Neither"),0,IF(Inputs!$Q$43="Tax Credit",IF(AF$2&gt;Inputs!$Q$48,0,IF(Inputs!$Q$44=0,Inputs!$Q$46/100*AF$17*Inputs!$Q$47*AF$10,MIN(Inputs!$Q$44,Inputs!$Q$46/100*AF$17*Inputs!$Q$47*AF$10))),0))</f>
        <v>0</v>
      </c>
      <c r="AG194" s="279">
        <f>IF(OR(Inputs!$G$79="No",Inputs!$Q$38="Cost-Based",Inputs!$Q$38="Neither"),0,IF(Inputs!$Q$43="Tax Credit",IF(AG$2&gt;Inputs!$Q$48,0,IF(Inputs!$Q$44=0,Inputs!$Q$46/100*AG$17*Inputs!$Q$47*AG$10,MIN(Inputs!$Q$44,Inputs!$Q$46/100*AG$17*Inputs!$Q$47*AG$10))),0))</f>
        <v>0</v>
      </c>
      <c r="AH194" s="279">
        <f>IF(OR(Inputs!$G$79="No",Inputs!$Q$38="Cost-Based",Inputs!$Q$38="Neither"),0,IF(Inputs!$Q$43="Tax Credit",IF(AH$2&gt;Inputs!$Q$48,0,IF(Inputs!$Q$44=0,Inputs!$Q$46/100*AH$17*Inputs!$Q$47*AH$10,MIN(Inputs!$Q$44,Inputs!$Q$46/100*AH$17*Inputs!$Q$47*AH$10))),0))</f>
        <v>0</v>
      </c>
      <c r="AI194" s="279">
        <f>IF(OR(Inputs!$G$79="No",Inputs!$Q$38="Cost-Based",Inputs!$Q$38="Neither"),0,IF(Inputs!$Q$43="Tax Credit",IF(AI$2&gt;Inputs!$Q$48,0,IF(Inputs!$Q$44=0,Inputs!$Q$46/100*AI$17*Inputs!$Q$47*AI$10,MIN(Inputs!$Q$44,Inputs!$Q$46/100*AI$17*Inputs!$Q$47*AI$10))),0))</f>
        <v>0</v>
      </c>
      <c r="AJ194" s="279">
        <f>IF(OR(Inputs!$G$79="No",Inputs!$Q$38="Cost-Based",Inputs!$Q$38="Neither"),0,IF(Inputs!$Q$43="Tax Credit",IF(AJ$2&gt;Inputs!$Q$48,0,IF(Inputs!$Q$44=0,Inputs!$Q$46/100*AJ$17*Inputs!$Q$47*AJ$10,MIN(Inputs!$Q$44,Inputs!$Q$46/100*AJ$17*Inputs!$Q$47*AJ$10))),0))</f>
        <v>0</v>
      </c>
    </row>
    <row r="195" spans="2:36" s="29" customFormat="1" ht="16">
      <c r="B195" s="259"/>
      <c r="C195" s="259"/>
      <c r="D195" s="259"/>
      <c r="E195" s="259"/>
      <c r="F195" s="274"/>
      <c r="G195" s="284"/>
      <c r="H195" s="285"/>
      <c r="I195" s="259"/>
      <c r="J195" s="259"/>
      <c r="K195" s="259"/>
      <c r="L195" s="259"/>
      <c r="M195" s="259"/>
      <c r="N195" s="259"/>
      <c r="O195" s="259"/>
      <c r="P195" s="259"/>
      <c r="Q195" s="259"/>
      <c r="R195" s="259"/>
      <c r="S195" s="259"/>
      <c r="T195" s="259"/>
      <c r="U195" s="259"/>
      <c r="V195" s="259"/>
      <c r="W195" s="259"/>
      <c r="X195" s="259"/>
      <c r="Y195" s="259"/>
      <c r="Z195" s="259"/>
      <c r="AA195" s="259"/>
      <c r="AB195" s="259"/>
      <c r="AC195" s="259"/>
      <c r="AD195" s="259"/>
      <c r="AE195" s="259"/>
      <c r="AF195" s="259"/>
      <c r="AG195" s="259"/>
      <c r="AH195" s="259"/>
      <c r="AI195" s="259"/>
      <c r="AJ195" s="259"/>
    </row>
    <row r="196" spans="2:36" s="29" customFormat="1" ht="16">
      <c r="B196" s="259" t="s">
        <v>233</v>
      </c>
      <c r="C196" s="259"/>
      <c r="D196" s="259"/>
      <c r="E196" s="259"/>
      <c r="F196" s="274"/>
      <c r="G196" s="279">
        <f>SUM(G193:G194)</f>
        <v>0</v>
      </c>
      <c r="H196" s="279">
        <f t="shared" ref="H196:AJ196" si="63">SUM(H193:H194)</f>
        <v>0</v>
      </c>
      <c r="I196" s="279">
        <f t="shared" si="63"/>
        <v>0</v>
      </c>
      <c r="J196" s="279">
        <f t="shared" si="63"/>
        <v>0</v>
      </c>
      <c r="K196" s="279">
        <f t="shared" si="63"/>
        <v>0</v>
      </c>
      <c r="L196" s="279">
        <f t="shared" si="63"/>
        <v>0</v>
      </c>
      <c r="M196" s="279">
        <f t="shared" si="63"/>
        <v>0</v>
      </c>
      <c r="N196" s="279">
        <f t="shared" si="63"/>
        <v>0</v>
      </c>
      <c r="O196" s="279">
        <f t="shared" si="63"/>
        <v>0</v>
      </c>
      <c r="P196" s="279">
        <f t="shared" si="63"/>
        <v>0</v>
      </c>
      <c r="Q196" s="279">
        <f t="shared" si="63"/>
        <v>0</v>
      </c>
      <c r="R196" s="279">
        <f t="shared" si="63"/>
        <v>0</v>
      </c>
      <c r="S196" s="279">
        <f t="shared" si="63"/>
        <v>0</v>
      </c>
      <c r="T196" s="279">
        <f t="shared" si="63"/>
        <v>0</v>
      </c>
      <c r="U196" s="279">
        <f t="shared" si="63"/>
        <v>0</v>
      </c>
      <c r="V196" s="279">
        <f t="shared" si="63"/>
        <v>0</v>
      </c>
      <c r="W196" s="279">
        <f t="shared" si="63"/>
        <v>0</v>
      </c>
      <c r="X196" s="279">
        <f t="shared" si="63"/>
        <v>0</v>
      </c>
      <c r="Y196" s="279">
        <f t="shared" si="63"/>
        <v>0</v>
      </c>
      <c r="Z196" s="279">
        <f t="shared" si="63"/>
        <v>0</v>
      </c>
      <c r="AA196" s="279">
        <f t="shared" si="63"/>
        <v>0</v>
      </c>
      <c r="AB196" s="279">
        <f t="shared" si="63"/>
        <v>0</v>
      </c>
      <c r="AC196" s="279">
        <f t="shared" si="63"/>
        <v>0</v>
      </c>
      <c r="AD196" s="279">
        <f t="shared" si="63"/>
        <v>0</v>
      </c>
      <c r="AE196" s="279">
        <f t="shared" si="63"/>
        <v>0</v>
      </c>
      <c r="AF196" s="279">
        <f t="shared" si="63"/>
        <v>0</v>
      </c>
      <c r="AG196" s="279">
        <f t="shared" si="63"/>
        <v>0</v>
      </c>
      <c r="AH196" s="279">
        <f t="shared" si="63"/>
        <v>0</v>
      </c>
      <c r="AI196" s="279">
        <f t="shared" si="63"/>
        <v>0</v>
      </c>
      <c r="AJ196" s="279">
        <f t="shared" si="63"/>
        <v>0</v>
      </c>
    </row>
    <row r="197" spans="2:36" s="29" customFormat="1" ht="16">
      <c r="B197" s="259"/>
      <c r="C197" s="259"/>
      <c r="D197" s="259"/>
      <c r="E197" s="259"/>
      <c r="F197" s="274"/>
      <c r="G197" s="279"/>
      <c r="H197" s="279"/>
      <c r="I197" s="279"/>
      <c r="J197" s="279"/>
      <c r="K197" s="279"/>
      <c r="L197" s="279"/>
      <c r="M197" s="279"/>
      <c r="N197" s="279"/>
      <c r="O197" s="279"/>
      <c r="P197" s="279"/>
      <c r="Q197" s="279"/>
      <c r="R197" s="279"/>
      <c r="S197" s="279"/>
      <c r="T197" s="279"/>
      <c r="U197" s="279"/>
      <c r="V197" s="279"/>
      <c r="W197" s="279"/>
      <c r="X197" s="279"/>
      <c r="Y197" s="279"/>
      <c r="Z197" s="279"/>
      <c r="AA197" s="279"/>
      <c r="AB197" s="279"/>
      <c r="AC197" s="279"/>
      <c r="AD197" s="279"/>
      <c r="AE197" s="279"/>
      <c r="AF197" s="279"/>
      <c r="AG197" s="279"/>
      <c r="AH197" s="279"/>
      <c r="AI197" s="279"/>
      <c r="AJ197" s="279"/>
    </row>
    <row r="198" spans="2:36" s="29" customFormat="1" ht="16">
      <c r="B198" s="346" t="s">
        <v>234</v>
      </c>
      <c r="C198" s="346"/>
      <c r="D198" s="346"/>
      <c r="E198" s="259"/>
      <c r="F198" s="274"/>
      <c r="G198" s="279"/>
      <c r="H198" s="279"/>
      <c r="I198" s="279"/>
      <c r="J198" s="279"/>
      <c r="K198" s="279"/>
      <c r="L198" s="279"/>
      <c r="M198" s="279"/>
      <c r="N198" s="279"/>
      <c r="O198" s="279"/>
      <c r="P198" s="279"/>
      <c r="Q198" s="279"/>
      <c r="R198" s="279"/>
      <c r="S198" s="279"/>
      <c r="T198" s="279"/>
      <c r="U198" s="279"/>
      <c r="V198" s="279"/>
      <c r="W198" s="279"/>
      <c r="X198" s="279"/>
      <c r="Y198" s="279"/>
      <c r="Z198" s="279"/>
      <c r="AA198" s="279"/>
      <c r="AB198" s="279"/>
      <c r="AC198" s="279"/>
      <c r="AD198" s="279"/>
      <c r="AE198" s="279"/>
      <c r="AF198" s="279"/>
      <c r="AG198" s="279"/>
      <c r="AH198" s="279"/>
      <c r="AI198" s="279"/>
      <c r="AJ198" s="279"/>
    </row>
    <row r="199" spans="2:36" s="29" customFormat="1" ht="16">
      <c r="B199" s="259" t="str">
        <f>B74</f>
        <v>State Income Taxes Saved / (Paid), before ITC/PTC</v>
      </c>
      <c r="C199" s="259"/>
      <c r="D199" s="259"/>
      <c r="E199" s="259"/>
      <c r="F199" s="274"/>
      <c r="G199" s="279" t="str">
        <f>IF(Inputs!$G$83="as generated","N/A",'Cash Flow'!G74)</f>
        <v>N/A</v>
      </c>
      <c r="H199" s="279" t="str">
        <f>IF(Inputs!$G$83="as generated","N/A",'Cash Flow'!H74)</f>
        <v>N/A</v>
      </c>
      <c r="I199" s="279" t="str">
        <f>IF(Inputs!$G$83="as generated","N/A",'Cash Flow'!I74)</f>
        <v>N/A</v>
      </c>
      <c r="J199" s="279" t="str">
        <f>IF(Inputs!$G$83="as generated","N/A",'Cash Flow'!J74)</f>
        <v>N/A</v>
      </c>
      <c r="K199" s="279" t="str">
        <f>IF(Inputs!$G$83="as generated","N/A",'Cash Flow'!K74)</f>
        <v>N/A</v>
      </c>
      <c r="L199" s="279" t="str">
        <f>IF(Inputs!$G$83="as generated","N/A",'Cash Flow'!L74)</f>
        <v>N/A</v>
      </c>
      <c r="M199" s="279" t="str">
        <f>IF(Inputs!$G$83="as generated","N/A",'Cash Flow'!M74)</f>
        <v>N/A</v>
      </c>
      <c r="N199" s="279" t="str">
        <f>IF(Inputs!$G$83="as generated","N/A",'Cash Flow'!N74)</f>
        <v>N/A</v>
      </c>
      <c r="O199" s="279" t="str">
        <f>IF(Inputs!$G$83="as generated","N/A",'Cash Flow'!O74)</f>
        <v>N/A</v>
      </c>
      <c r="P199" s="279" t="str">
        <f>IF(Inputs!$G$83="as generated","N/A",'Cash Flow'!P74)</f>
        <v>N/A</v>
      </c>
      <c r="Q199" s="279" t="str">
        <f>IF(Inputs!$G$83="as generated","N/A",'Cash Flow'!Q74)</f>
        <v>N/A</v>
      </c>
      <c r="R199" s="279" t="str">
        <f>IF(Inputs!$G$83="as generated","N/A",'Cash Flow'!R74)</f>
        <v>N/A</v>
      </c>
      <c r="S199" s="279" t="str">
        <f>IF(Inputs!$G$83="as generated","N/A",'Cash Flow'!S74)</f>
        <v>N/A</v>
      </c>
      <c r="T199" s="279" t="str">
        <f>IF(Inputs!$G$83="as generated","N/A",'Cash Flow'!T74)</f>
        <v>N/A</v>
      </c>
      <c r="U199" s="279" t="str">
        <f>IF(Inputs!$G$83="as generated","N/A",'Cash Flow'!U74)</f>
        <v>N/A</v>
      </c>
      <c r="V199" s="279" t="str">
        <f>IF(Inputs!$G$83="as generated","N/A",'Cash Flow'!V74)</f>
        <v>N/A</v>
      </c>
      <c r="W199" s="279" t="str">
        <f>IF(Inputs!$G$83="as generated","N/A",'Cash Flow'!W74)</f>
        <v>N/A</v>
      </c>
      <c r="X199" s="279" t="str">
        <f>IF(Inputs!$G$83="as generated","N/A",'Cash Flow'!X74)</f>
        <v>N/A</v>
      </c>
      <c r="Y199" s="279" t="str">
        <f>IF(Inputs!$G$83="as generated","N/A",'Cash Flow'!Y74)</f>
        <v>N/A</v>
      </c>
      <c r="Z199" s="279" t="str">
        <f>IF(Inputs!$G$83="as generated","N/A",'Cash Flow'!Z74)</f>
        <v>N/A</v>
      </c>
      <c r="AA199" s="279" t="str">
        <f>IF(Inputs!$G$83="as generated","N/A",'Cash Flow'!AA74)</f>
        <v>N/A</v>
      </c>
      <c r="AB199" s="279" t="str">
        <f>IF(Inputs!$G$83="as generated","N/A",'Cash Flow'!AB74)</f>
        <v>N/A</v>
      </c>
      <c r="AC199" s="279" t="str">
        <f>IF(Inputs!$G$83="as generated","N/A",'Cash Flow'!AC74)</f>
        <v>N/A</v>
      </c>
      <c r="AD199" s="279" t="str">
        <f>IF(Inputs!$G$83="as generated","N/A",'Cash Flow'!AD74)</f>
        <v>N/A</v>
      </c>
      <c r="AE199" s="279" t="str">
        <f>IF(Inputs!$G$83="as generated","N/A",'Cash Flow'!AE74)</f>
        <v>N/A</v>
      </c>
      <c r="AF199" s="279" t="str">
        <f>IF(Inputs!$G$83="as generated","N/A",'Cash Flow'!AF74)</f>
        <v>N/A</v>
      </c>
      <c r="AG199" s="279" t="str">
        <f>IF(Inputs!$G$83="as generated","N/A",'Cash Flow'!AG74)</f>
        <v>N/A</v>
      </c>
      <c r="AH199" s="279" t="str">
        <f>IF(Inputs!$G$83="as generated","N/A",'Cash Flow'!AH74)</f>
        <v>N/A</v>
      </c>
      <c r="AI199" s="279" t="str">
        <f>IF(Inputs!$G$83="as generated","N/A",'Cash Flow'!AI74)</f>
        <v>N/A</v>
      </c>
      <c r="AJ199" s="279" t="str">
        <f>IF(Inputs!$G$83="as generated","N/A",'Cash Flow'!AJ74)</f>
        <v>N/A</v>
      </c>
    </row>
    <row r="200" spans="2:36" s="29" customFormat="1" ht="16">
      <c r="B200" s="259"/>
      <c r="C200" s="259"/>
      <c r="D200" s="259"/>
      <c r="E200" s="259"/>
      <c r="F200" s="274"/>
      <c r="G200" s="279"/>
      <c r="H200" s="279"/>
      <c r="I200" s="279"/>
      <c r="J200" s="279"/>
      <c r="K200" s="279"/>
      <c r="L200" s="279"/>
      <c r="M200" s="279"/>
      <c r="N200" s="279"/>
      <c r="O200" s="279"/>
      <c r="P200" s="279"/>
      <c r="Q200" s="279"/>
      <c r="R200" s="279"/>
      <c r="S200" s="279"/>
      <c r="T200" s="279"/>
      <c r="U200" s="279"/>
      <c r="V200" s="279"/>
      <c r="W200" s="279"/>
      <c r="X200" s="279"/>
      <c r="Y200" s="279"/>
      <c r="Z200" s="279"/>
      <c r="AA200" s="279"/>
      <c r="AB200" s="279"/>
      <c r="AC200" s="279"/>
      <c r="AD200" s="279"/>
      <c r="AE200" s="279"/>
      <c r="AF200" s="279"/>
      <c r="AG200" s="279"/>
      <c r="AH200" s="279"/>
      <c r="AI200" s="279"/>
      <c r="AJ200" s="279"/>
    </row>
    <row r="201" spans="2:36" s="29" customFormat="1" ht="16">
      <c r="B201" s="259" t="s">
        <v>271</v>
      </c>
      <c r="C201" s="259"/>
      <c r="D201" s="259"/>
      <c r="E201" s="259"/>
      <c r="F201" s="274"/>
      <c r="G201" s="279">
        <v>0</v>
      </c>
      <c r="H201" s="279">
        <f>IF(Inputs!$G$83="as generated",0,G204)</f>
        <v>0</v>
      </c>
      <c r="I201" s="279">
        <f>IF(Inputs!$G$83="as generated",0,H204)</f>
        <v>0</v>
      </c>
      <c r="J201" s="279">
        <f>IF(Inputs!$G$83="as generated",0,I204)</f>
        <v>0</v>
      </c>
      <c r="K201" s="279">
        <f>IF(Inputs!$G$83="as generated",0,J204)</f>
        <v>0</v>
      </c>
      <c r="L201" s="279">
        <f>IF(Inputs!$G$83="as generated",0,K204)</f>
        <v>0</v>
      </c>
      <c r="M201" s="279">
        <f>IF(Inputs!$G$83="as generated",0,L204)</f>
        <v>0</v>
      </c>
      <c r="N201" s="279">
        <f>IF(Inputs!$G$83="as generated",0,M204)</f>
        <v>0</v>
      </c>
      <c r="O201" s="279">
        <f>IF(Inputs!$G$83="as generated",0,N204)</f>
        <v>0</v>
      </c>
      <c r="P201" s="279">
        <f>IF(Inputs!$G$83="as generated",0,O204)</f>
        <v>0</v>
      </c>
      <c r="Q201" s="279">
        <f>IF(Inputs!$G$83="as generated",0,P204)</f>
        <v>0</v>
      </c>
      <c r="R201" s="279">
        <f>IF(Inputs!$G$83="as generated",0,Q204)</f>
        <v>0</v>
      </c>
      <c r="S201" s="279">
        <f>IF(Inputs!$G$83="as generated",0,R204)</f>
        <v>0</v>
      </c>
      <c r="T201" s="279">
        <f>IF(Inputs!$G$83="as generated",0,S204)</f>
        <v>0</v>
      </c>
      <c r="U201" s="279">
        <f>IF(Inputs!$G$83="as generated",0,T204)</f>
        <v>0</v>
      </c>
      <c r="V201" s="279">
        <f>IF(Inputs!$G$83="as generated",0,U204)</f>
        <v>0</v>
      </c>
      <c r="W201" s="279">
        <f>IF(Inputs!$G$83="as generated",0,V204)</f>
        <v>0</v>
      </c>
      <c r="X201" s="279">
        <f>IF(Inputs!$G$83="as generated",0,W204)</f>
        <v>0</v>
      </c>
      <c r="Y201" s="279">
        <f>IF(Inputs!$G$83="as generated",0,X204)</f>
        <v>0</v>
      </c>
      <c r="Z201" s="279">
        <f>IF(Inputs!$G$83="as generated",0,Y204)</f>
        <v>0</v>
      </c>
      <c r="AA201" s="279">
        <f>IF(Inputs!$G$83="as generated",0,Z204)</f>
        <v>0</v>
      </c>
      <c r="AB201" s="279">
        <f>IF(Inputs!$G$83="as generated",0,AA204)</f>
        <v>0</v>
      </c>
      <c r="AC201" s="279">
        <f>IF(Inputs!$G$83="as generated",0,AB204)</f>
        <v>0</v>
      </c>
      <c r="AD201" s="279">
        <f>IF(Inputs!$G$83="as generated",0,AC204)</f>
        <v>0</v>
      </c>
      <c r="AE201" s="279">
        <f>IF(Inputs!$G$83="as generated",0,AD204)</f>
        <v>0</v>
      </c>
      <c r="AF201" s="279">
        <f>IF(Inputs!$G$83="as generated",0,AE204)</f>
        <v>0</v>
      </c>
      <c r="AG201" s="279">
        <f>IF(Inputs!$G$83="as generated",0,AF204)</f>
        <v>0</v>
      </c>
      <c r="AH201" s="279">
        <f>IF(Inputs!$G$83="as generated",0,AG204)</f>
        <v>0</v>
      </c>
      <c r="AI201" s="279">
        <f>IF(Inputs!$G$83="as generated",0,AH204)</f>
        <v>0</v>
      </c>
      <c r="AJ201" s="279">
        <f>IF(Inputs!$G$83="as generated",0,AI204)</f>
        <v>0</v>
      </c>
    </row>
    <row r="202" spans="2:36" s="29" customFormat="1" ht="16">
      <c r="B202" s="259" t="s">
        <v>272</v>
      </c>
      <c r="C202" s="259"/>
      <c r="D202" s="259"/>
      <c r="E202" s="259"/>
      <c r="F202" s="274"/>
      <c r="G202" s="279">
        <f>IF(Inputs!$G$83="as generated",0,IF(G199&lt;=0,G196,0))</f>
        <v>0</v>
      </c>
      <c r="H202" s="279">
        <f>IF(Inputs!$G$83="as generated",0,IF(H199&lt;=0,H196,0))</f>
        <v>0</v>
      </c>
      <c r="I202" s="279">
        <f>IF(Inputs!$G$83="as generated",0,IF(I199&lt;=0,I196,0))</f>
        <v>0</v>
      </c>
      <c r="J202" s="279">
        <f>IF(Inputs!$G$83="as generated",0,IF(J199&lt;=0,J196,0))</f>
        <v>0</v>
      </c>
      <c r="K202" s="279">
        <f>IF(Inputs!$G$83="as generated",0,IF(K199&lt;=0,K196,0))</f>
        <v>0</v>
      </c>
      <c r="L202" s="279">
        <f>IF(Inputs!$G$83="as generated",0,IF(L199&lt;=0,L196,0))</f>
        <v>0</v>
      </c>
      <c r="M202" s="279">
        <f>IF(Inputs!$G$83="as generated",0,IF(M199&lt;=0,M196,0))</f>
        <v>0</v>
      </c>
      <c r="N202" s="279">
        <f>IF(Inputs!$G$83="as generated",0,IF(N199&lt;=0,N196,0))</f>
        <v>0</v>
      </c>
      <c r="O202" s="279">
        <f>IF(Inputs!$G$83="as generated",0,IF(O199&lt;=0,O196,0))</f>
        <v>0</v>
      </c>
      <c r="P202" s="279">
        <f>IF(Inputs!$G$83="as generated",0,IF(P199&lt;=0,P196,0))</f>
        <v>0</v>
      </c>
      <c r="Q202" s="279">
        <f>IF(Inputs!$G$83="as generated",0,IF(Q199&lt;=0,Q196,0))</f>
        <v>0</v>
      </c>
      <c r="R202" s="279">
        <f>IF(Inputs!$G$83="as generated",0,IF(R199&lt;=0,R196,0))</f>
        <v>0</v>
      </c>
      <c r="S202" s="279">
        <f>IF(Inputs!$G$83="as generated",0,IF(S199&lt;=0,S196,0))</f>
        <v>0</v>
      </c>
      <c r="T202" s="279">
        <f>IF(Inputs!$G$83="as generated",0,IF(T199&lt;=0,T196,0))</f>
        <v>0</v>
      </c>
      <c r="U202" s="279">
        <f>IF(Inputs!$G$83="as generated",0,IF(U199&lt;=0,U196,0))</f>
        <v>0</v>
      </c>
      <c r="V202" s="279">
        <f>IF(Inputs!$G$83="as generated",0,IF(V199&lt;=0,V196,0))</f>
        <v>0</v>
      </c>
      <c r="W202" s="279">
        <f>IF(Inputs!$G$83="as generated",0,IF(W199&lt;=0,W196,0))</f>
        <v>0</v>
      </c>
      <c r="X202" s="279">
        <f>IF(Inputs!$G$83="as generated",0,IF(X199&lt;=0,X196,0))</f>
        <v>0</v>
      </c>
      <c r="Y202" s="279">
        <f>IF(Inputs!$G$83="as generated",0,IF(Y199&lt;=0,Y196,0))</f>
        <v>0</v>
      </c>
      <c r="Z202" s="279">
        <f>IF(Inputs!$G$83="as generated",0,IF(Z199&lt;=0,Z196,0))</f>
        <v>0</v>
      </c>
      <c r="AA202" s="279">
        <f>IF(Inputs!$G$83="as generated",0,IF(AA199&lt;=0,AA196,0))</f>
        <v>0</v>
      </c>
      <c r="AB202" s="279">
        <f>IF(Inputs!$G$83="as generated",0,IF(AB199&lt;=0,AB196,0))</f>
        <v>0</v>
      </c>
      <c r="AC202" s="279">
        <f>IF(Inputs!$G$83="as generated",0,IF(AC199&lt;=0,AC196,0))</f>
        <v>0</v>
      </c>
      <c r="AD202" s="279">
        <f>IF(Inputs!$G$83="as generated",0,IF(AD199&lt;=0,AD196,0))</f>
        <v>0</v>
      </c>
      <c r="AE202" s="279">
        <f>IF(Inputs!$G$83="as generated",0,IF(AE199&lt;=0,AE196,0))</f>
        <v>0</v>
      </c>
      <c r="AF202" s="279">
        <f>IF(Inputs!$G$83="as generated",0,IF(AF199&lt;=0,AF196,0))</f>
        <v>0</v>
      </c>
      <c r="AG202" s="279">
        <f>IF(Inputs!$G$83="as generated",0,IF(AG199&lt;=0,AG196,0))</f>
        <v>0</v>
      </c>
      <c r="AH202" s="279">
        <f>IF(Inputs!$G$83="as generated",0,IF(AH199&lt;=0,AH196,0))</f>
        <v>0</v>
      </c>
      <c r="AI202" s="279">
        <f>IF(Inputs!$G$83="as generated",0,IF(AI199&lt;=0,AI196,0))</f>
        <v>0</v>
      </c>
      <c r="AJ202" s="279">
        <f>IF(Inputs!$G$83="as generated",0,IF(AJ199&lt;=0,AJ196,0))</f>
        <v>0</v>
      </c>
    </row>
    <row r="203" spans="2:36" s="29" customFormat="1" ht="16">
      <c r="B203" s="259" t="s">
        <v>273</v>
      </c>
      <c r="C203" s="259"/>
      <c r="D203" s="259"/>
      <c r="E203" s="259"/>
      <c r="F203" s="274"/>
      <c r="G203" s="279">
        <f>IF(Inputs!$G$83="as generated",0,IF(G$199&lt;0,MAX(G$199,-F$204),0))</f>
        <v>0</v>
      </c>
      <c r="H203" s="279">
        <f>IF(Inputs!$G$83="as generated",0,IF(H$199&lt;0,MAX(H$199,-G$204),0))</f>
        <v>0</v>
      </c>
      <c r="I203" s="279">
        <f>IF(Inputs!$G$83="as generated",0,IF(I$199&lt;0,MAX(I$199,-H$204),0))</f>
        <v>0</v>
      </c>
      <c r="J203" s="279">
        <f>IF(Inputs!$G$83="as generated",0,IF(J$199&lt;0,MAX(J$199,-I$204),0))</f>
        <v>0</v>
      </c>
      <c r="K203" s="279">
        <f>IF(Inputs!$G$83="as generated",0,IF(K$199&lt;0,MAX(K$199,-J$204),0))</f>
        <v>0</v>
      </c>
      <c r="L203" s="279">
        <f>IF(Inputs!$G$83="as generated",0,IF(L$199&lt;0,MAX(L$199,-K$204),0))</f>
        <v>0</v>
      </c>
      <c r="M203" s="279">
        <f>IF(Inputs!$G$83="as generated",0,IF(M$199&lt;0,MAX(M$199,-L$204),0))</f>
        <v>0</v>
      </c>
      <c r="N203" s="279">
        <f>IF(Inputs!$G$83="as generated",0,IF(N$199&lt;0,MAX(N$199,-M$204),0))</f>
        <v>0</v>
      </c>
      <c r="O203" s="279">
        <f>IF(Inputs!$G$83="as generated",0,IF(O$199&lt;0,MAX(O$199,-N$204),0))</f>
        <v>0</v>
      </c>
      <c r="P203" s="279">
        <f>IF(Inputs!$G$83="as generated",0,IF(P$199&lt;0,MAX(P$199,-O$204),0))</f>
        <v>0</v>
      </c>
      <c r="Q203" s="279">
        <f>IF(Inputs!$G$83="as generated",0,IF(Q$199&lt;0,MAX(Q$199,-P$204),0))</f>
        <v>0</v>
      </c>
      <c r="R203" s="279">
        <f>IF(Inputs!$G$83="as generated",0,IF(R$199&lt;0,MAX(R$199,-Q$204),0))</f>
        <v>0</v>
      </c>
      <c r="S203" s="279">
        <f>IF(Inputs!$G$83="as generated",0,IF(S$199&lt;0,MAX(S$199,-R$204),0))</f>
        <v>0</v>
      </c>
      <c r="T203" s="279">
        <f>IF(Inputs!$G$83="as generated",0,IF(T$199&lt;0,MAX(T$199,-S$204),0))</f>
        <v>0</v>
      </c>
      <c r="U203" s="279">
        <f>IF(Inputs!$G$83="as generated",0,IF(U$199&lt;0,MAX(U$199,-T$204),0))</f>
        <v>0</v>
      </c>
      <c r="V203" s="279">
        <f>IF(Inputs!$G$83="as generated",0,IF(V$199&lt;0,MAX(V$199,-U$204),0))</f>
        <v>0</v>
      </c>
      <c r="W203" s="279">
        <f>IF(Inputs!$G$83="as generated",0,IF(W$199&lt;0,MAX(W$199,-V$204),0))</f>
        <v>0</v>
      </c>
      <c r="X203" s="279">
        <f>IF(Inputs!$G$83="as generated",0,IF(X$199&lt;0,MAX(X$199,-W$204),0))</f>
        <v>0</v>
      </c>
      <c r="Y203" s="279">
        <f>IF(Inputs!$G$83="as generated",0,IF(Y$199&lt;0,MAX(Y$199,-X$204),0))</f>
        <v>0</v>
      </c>
      <c r="Z203" s="279">
        <f>IF(Inputs!$G$83="as generated",0,IF(Z$199&lt;0,MAX(Z$199,-Y$204),0))</f>
        <v>0</v>
      </c>
      <c r="AA203" s="279">
        <f>IF(Inputs!$G$83="as generated",0,IF(AA$199&lt;0,MAX(AA$199,-Z$204),0))</f>
        <v>0</v>
      </c>
      <c r="AB203" s="279">
        <f>IF(Inputs!$G$83="as generated",0,IF(AB$199&lt;0,MAX(AB$199,-AA$204),0))</f>
        <v>0</v>
      </c>
      <c r="AC203" s="279">
        <f>IF(Inputs!$G$83="as generated",0,IF(AC$199&lt;0,MAX(AC$199,-AB$204),0))</f>
        <v>0</v>
      </c>
      <c r="AD203" s="279">
        <f>IF(Inputs!$G$83="as generated",0,IF(AD$199&lt;0,MAX(AD$199,-AC$204),0))</f>
        <v>0</v>
      </c>
      <c r="AE203" s="279">
        <f>IF(Inputs!$G$83="as generated",0,IF(AE$199&lt;0,MAX(AE$199,-AD$204),0))</f>
        <v>0</v>
      </c>
      <c r="AF203" s="279">
        <f>IF(Inputs!$G$83="as generated",0,IF(AF$199&lt;0,MAX(AF$199,-AE$204),0))</f>
        <v>0</v>
      </c>
      <c r="AG203" s="279">
        <f>IF(Inputs!$G$83="as generated",0,IF(AG$199&lt;0,MAX(AG$199,-AF$204),0))</f>
        <v>0</v>
      </c>
      <c r="AH203" s="279">
        <f>IF(Inputs!$G$83="as generated",0,IF(AH$199&lt;0,MAX(AH$199,-AG$204),0))</f>
        <v>0</v>
      </c>
      <c r="AI203" s="279">
        <f>IF(Inputs!$G$83="as generated",0,IF(AI$199&lt;0,MAX(AI$199,-AH$204),0))</f>
        <v>0</v>
      </c>
      <c r="AJ203" s="279">
        <f>IF(Inputs!$G$83="as generated",0,IF(AJ$199&lt;0,MAX(AJ$199,-AI$204),0))</f>
        <v>0</v>
      </c>
    </row>
    <row r="204" spans="2:36" s="29" customFormat="1" ht="16">
      <c r="B204" s="259" t="s">
        <v>274</v>
      </c>
      <c r="C204" s="259"/>
      <c r="D204" s="259"/>
      <c r="E204" s="259"/>
      <c r="F204" s="279">
        <v>0</v>
      </c>
      <c r="G204" s="279">
        <f>SUM(G201:G203)</f>
        <v>0</v>
      </c>
      <c r="H204" s="279">
        <f t="shared" ref="H204:AJ204" si="64">SUM(H201:H203)</f>
        <v>0</v>
      </c>
      <c r="I204" s="279">
        <f t="shared" si="64"/>
        <v>0</v>
      </c>
      <c r="J204" s="279">
        <f t="shared" si="64"/>
        <v>0</v>
      </c>
      <c r="K204" s="279">
        <f t="shared" si="64"/>
        <v>0</v>
      </c>
      <c r="L204" s="279">
        <f t="shared" si="64"/>
        <v>0</v>
      </c>
      <c r="M204" s="279">
        <f t="shared" si="64"/>
        <v>0</v>
      </c>
      <c r="N204" s="279">
        <f t="shared" si="64"/>
        <v>0</v>
      </c>
      <c r="O204" s="279">
        <f t="shared" si="64"/>
        <v>0</v>
      </c>
      <c r="P204" s="279">
        <f t="shared" si="64"/>
        <v>0</v>
      </c>
      <c r="Q204" s="279">
        <f t="shared" si="64"/>
        <v>0</v>
      </c>
      <c r="R204" s="279">
        <f t="shared" si="64"/>
        <v>0</v>
      </c>
      <c r="S204" s="279">
        <f t="shared" si="64"/>
        <v>0</v>
      </c>
      <c r="T204" s="279">
        <f t="shared" si="64"/>
        <v>0</v>
      </c>
      <c r="U204" s="279">
        <f t="shared" si="64"/>
        <v>0</v>
      </c>
      <c r="V204" s="279">
        <f t="shared" si="64"/>
        <v>0</v>
      </c>
      <c r="W204" s="279">
        <f t="shared" si="64"/>
        <v>0</v>
      </c>
      <c r="X204" s="279">
        <f t="shared" si="64"/>
        <v>0</v>
      </c>
      <c r="Y204" s="279">
        <f t="shared" si="64"/>
        <v>0</v>
      </c>
      <c r="Z204" s="279">
        <f t="shared" si="64"/>
        <v>0</v>
      </c>
      <c r="AA204" s="279">
        <f t="shared" si="64"/>
        <v>0</v>
      </c>
      <c r="AB204" s="279">
        <f t="shared" si="64"/>
        <v>0</v>
      </c>
      <c r="AC204" s="279">
        <f t="shared" si="64"/>
        <v>0</v>
      </c>
      <c r="AD204" s="279">
        <f t="shared" si="64"/>
        <v>0</v>
      </c>
      <c r="AE204" s="279">
        <f t="shared" si="64"/>
        <v>0</v>
      </c>
      <c r="AF204" s="279">
        <f t="shared" si="64"/>
        <v>0</v>
      </c>
      <c r="AG204" s="279">
        <f t="shared" si="64"/>
        <v>0</v>
      </c>
      <c r="AH204" s="279">
        <f t="shared" si="64"/>
        <v>0</v>
      </c>
      <c r="AI204" s="279">
        <f t="shared" si="64"/>
        <v>0</v>
      </c>
      <c r="AJ204" s="279">
        <f t="shared" si="64"/>
        <v>0</v>
      </c>
    </row>
    <row r="205" spans="2:36" s="29" customFormat="1" ht="17" thickBot="1">
      <c r="B205" s="281"/>
      <c r="C205" s="281"/>
      <c r="D205" s="281"/>
      <c r="E205" s="281"/>
      <c r="F205" s="281"/>
      <c r="G205" s="282"/>
      <c r="H205" s="283"/>
      <c r="I205" s="281"/>
      <c r="J205" s="281"/>
      <c r="K205" s="281"/>
      <c r="L205" s="281"/>
      <c r="M205" s="281"/>
      <c r="N205" s="281"/>
      <c r="O205" s="281"/>
      <c r="P205" s="281"/>
      <c r="Q205" s="281"/>
      <c r="R205" s="281"/>
      <c r="S205" s="281"/>
      <c r="T205" s="281"/>
      <c r="U205" s="281"/>
      <c r="V205" s="281"/>
      <c r="W205" s="281"/>
      <c r="X205" s="281"/>
      <c r="Y205" s="281"/>
      <c r="Z205" s="281"/>
      <c r="AA205" s="281"/>
      <c r="AB205" s="281"/>
      <c r="AC205" s="281"/>
      <c r="AD205" s="281"/>
      <c r="AE205" s="281"/>
      <c r="AF205" s="281"/>
      <c r="AG205" s="281"/>
      <c r="AH205" s="281"/>
      <c r="AI205" s="281"/>
      <c r="AJ205" s="281"/>
    </row>
    <row r="206" spans="2:36">
      <c r="B206" s="303"/>
      <c r="C206" s="303"/>
      <c r="D206" s="303"/>
      <c r="E206" s="303"/>
      <c r="F206" s="303"/>
      <c r="G206" s="303"/>
      <c r="H206" s="303"/>
      <c r="I206" s="303"/>
      <c r="J206" s="303"/>
      <c r="K206" s="303"/>
      <c r="L206" s="303"/>
      <c r="M206" s="303"/>
      <c r="N206" s="303"/>
      <c r="O206" s="303"/>
      <c r="P206" s="303"/>
      <c r="Q206" s="303"/>
      <c r="R206" s="303"/>
      <c r="S206" s="303"/>
      <c r="T206" s="303"/>
      <c r="U206" s="303"/>
      <c r="V206" s="303"/>
      <c r="W206" s="303"/>
      <c r="X206" s="303"/>
      <c r="Y206" s="303"/>
      <c r="Z206" s="303"/>
      <c r="AA206" s="303"/>
      <c r="AB206" s="303"/>
      <c r="AC206" s="303"/>
      <c r="AD206" s="303"/>
      <c r="AE206" s="303"/>
      <c r="AF206" s="303"/>
      <c r="AG206" s="303"/>
      <c r="AH206" s="303"/>
      <c r="AI206" s="303"/>
      <c r="AJ206" s="303"/>
    </row>
    <row r="207" spans="2:36" ht="16">
      <c r="B207" s="258" t="s">
        <v>144</v>
      </c>
      <c r="C207" s="258"/>
      <c r="D207" s="258"/>
      <c r="E207" s="303"/>
      <c r="F207" s="303"/>
      <c r="G207" s="303"/>
      <c r="H207" s="303"/>
      <c r="I207" s="303"/>
      <c r="J207" s="303"/>
      <c r="K207" s="303"/>
      <c r="L207" s="303"/>
      <c r="M207" s="303"/>
      <c r="N207" s="303"/>
      <c r="O207" s="303"/>
      <c r="P207" s="303"/>
      <c r="Q207" s="303"/>
      <c r="R207" s="303"/>
      <c r="S207" s="303"/>
      <c r="T207" s="303"/>
      <c r="U207" s="303"/>
      <c r="V207" s="303"/>
      <c r="W207" s="303"/>
      <c r="X207" s="303"/>
      <c r="Y207" s="303"/>
      <c r="Z207" s="303"/>
      <c r="AA207" s="303"/>
      <c r="AB207" s="303"/>
      <c r="AC207" s="303"/>
      <c r="AD207" s="303"/>
      <c r="AE207" s="303"/>
      <c r="AF207" s="303"/>
      <c r="AG207" s="303"/>
      <c r="AH207" s="303"/>
      <c r="AI207" s="303"/>
      <c r="AJ207" s="303"/>
    </row>
    <row r="208" spans="2:36" ht="16">
      <c r="B208" s="259" t="s">
        <v>85</v>
      </c>
      <c r="C208" s="278"/>
      <c r="D208" s="278"/>
      <c r="E208" s="303"/>
      <c r="F208" s="321">
        <v>0</v>
      </c>
      <c r="G208" s="296">
        <f>F216</f>
        <v>1478954.9482940962</v>
      </c>
      <c r="H208" s="296">
        <f t="shared" ref="H208:AJ208" si="65">G216</f>
        <v>1478954.9482940962</v>
      </c>
      <c r="I208" s="296">
        <f t="shared" si="65"/>
        <v>1478954.9482940962</v>
      </c>
      <c r="J208" s="296">
        <f t="shared" si="65"/>
        <v>1478954.9482940962</v>
      </c>
      <c r="K208" s="296">
        <f t="shared" si="65"/>
        <v>1478954.9482940962</v>
      </c>
      <c r="L208" s="296">
        <f t="shared" si="65"/>
        <v>1478954.9482940962</v>
      </c>
      <c r="M208" s="296">
        <f t="shared" si="65"/>
        <v>1478954.9482940962</v>
      </c>
      <c r="N208" s="296">
        <f t="shared" si="65"/>
        <v>1478954.9482940962</v>
      </c>
      <c r="O208" s="296">
        <f t="shared" si="65"/>
        <v>1478954.9482940962</v>
      </c>
      <c r="P208" s="296">
        <f t="shared" si="65"/>
        <v>1478954.9482940962</v>
      </c>
      <c r="Q208" s="296">
        <f t="shared" si="65"/>
        <v>1478954.9482940962</v>
      </c>
      <c r="R208" s="296">
        <f t="shared" si="65"/>
        <v>1478954.9482940962</v>
      </c>
      <c r="S208" s="296">
        <f t="shared" si="65"/>
        <v>1478954.9482940962</v>
      </c>
      <c r="T208" s="296">
        <f t="shared" si="65"/>
        <v>1478954.9482940962</v>
      </c>
      <c r="U208" s="296">
        <f t="shared" si="65"/>
        <v>1064065.6323816241</v>
      </c>
      <c r="V208" s="296">
        <f t="shared" si="65"/>
        <v>1064065.6323816241</v>
      </c>
      <c r="W208" s="296">
        <f t="shared" si="65"/>
        <v>1064065.6323816241</v>
      </c>
      <c r="X208" s="296">
        <f t="shared" si="65"/>
        <v>1064065.6323816241</v>
      </c>
      <c r="Y208" s="296">
        <f t="shared" si="65"/>
        <v>1064065.6323816241</v>
      </c>
      <c r="Z208" s="296">
        <f t="shared" si="65"/>
        <v>1064065.6323816241</v>
      </c>
      <c r="AA208" s="296">
        <f t="shared" si="65"/>
        <v>0</v>
      </c>
      <c r="AB208" s="296">
        <f t="shared" si="65"/>
        <v>0</v>
      </c>
      <c r="AC208" s="296">
        <f t="shared" si="65"/>
        <v>0</v>
      </c>
      <c r="AD208" s="296">
        <f t="shared" si="65"/>
        <v>0</v>
      </c>
      <c r="AE208" s="296">
        <f t="shared" si="65"/>
        <v>0</v>
      </c>
      <c r="AF208" s="296">
        <f t="shared" si="65"/>
        <v>0</v>
      </c>
      <c r="AG208" s="296">
        <f t="shared" si="65"/>
        <v>0</v>
      </c>
      <c r="AH208" s="296">
        <f t="shared" si="65"/>
        <v>0</v>
      </c>
      <c r="AI208" s="296">
        <f t="shared" si="65"/>
        <v>0</v>
      </c>
      <c r="AJ208" s="296">
        <f t="shared" si="65"/>
        <v>0</v>
      </c>
    </row>
    <row r="209" spans="2:36" ht="16">
      <c r="B209" s="278" t="s">
        <v>38</v>
      </c>
      <c r="C209" s="278"/>
      <c r="D209" s="278"/>
      <c r="E209" s="303"/>
      <c r="F209" s="296">
        <f>Inputs!$Q$73</f>
        <v>414889.31591247208</v>
      </c>
      <c r="G209" s="296">
        <f>IF(G$2=Inputs!$G$58+1,-$F$209,0)</f>
        <v>0</v>
      </c>
      <c r="H209" s="296">
        <f>IF(H$2=Inputs!$G$58+1,-$F$209,0)</f>
        <v>0</v>
      </c>
      <c r="I209" s="296">
        <f>IF(I$2=Inputs!$G$58+1,-$F$209,0)</f>
        <v>0</v>
      </c>
      <c r="J209" s="296">
        <f>IF(J$2=Inputs!$G$58+1,-$F$209,0)</f>
        <v>0</v>
      </c>
      <c r="K209" s="296">
        <f>IF(K$2=Inputs!$G$58+1,-$F$209,0)</f>
        <v>0</v>
      </c>
      <c r="L209" s="296">
        <f>IF(L$2=Inputs!$G$58+1,-$F$209,0)</f>
        <v>0</v>
      </c>
      <c r="M209" s="296">
        <f>IF(M$2=Inputs!$G$58+1,-$F$209,0)</f>
        <v>0</v>
      </c>
      <c r="N209" s="296">
        <f>IF(N$2=Inputs!$G$58+1,-$F$209,0)</f>
        <v>0</v>
      </c>
      <c r="O209" s="296">
        <f>IF(O$2=Inputs!$G$58+1,-$F$209,0)</f>
        <v>0</v>
      </c>
      <c r="P209" s="296">
        <f>IF(P$2=Inputs!$G$58+1,-$F$209,0)</f>
        <v>0</v>
      </c>
      <c r="Q209" s="296">
        <f>IF(Q$2=Inputs!$G$58+1,-$F$209,0)</f>
        <v>0</v>
      </c>
      <c r="R209" s="296">
        <f>IF(R$2=Inputs!$G$58+1,-$F$209,0)</f>
        <v>0</v>
      </c>
      <c r="S209" s="296">
        <f>IF(S$2=Inputs!$G$58+1,-$F$209,0)</f>
        <v>0</v>
      </c>
      <c r="T209" s="296">
        <f>IF(T$2=Inputs!$G$58+1,-$F$209,0)</f>
        <v>-414889.31591247208</v>
      </c>
      <c r="U209" s="296">
        <f>IF(U$2=Inputs!$G$58+1,-$F$209,0)</f>
        <v>0</v>
      </c>
      <c r="V209" s="296">
        <f>IF(V$2=Inputs!$G$58+1,-$F$209,0)</f>
        <v>0</v>
      </c>
      <c r="W209" s="296">
        <f>IF(W$2=Inputs!$G$58+1,-$F$209,0)</f>
        <v>0</v>
      </c>
      <c r="X209" s="296">
        <f>IF(X$2=Inputs!$G$58+1,-$F$209,0)</f>
        <v>0</v>
      </c>
      <c r="Y209" s="296">
        <f>IF(Y$2=Inputs!$G$58+1,-$F$209,0)</f>
        <v>0</v>
      </c>
      <c r="Z209" s="296">
        <f>IF(Z$2=Inputs!$G$58+1,-$F$209,0)</f>
        <v>0</v>
      </c>
      <c r="AA209" s="296">
        <f>IF(AA$2=Inputs!$G$58+1,-$F$209,0)</f>
        <v>0</v>
      </c>
      <c r="AB209" s="296">
        <f>IF(AB$2=Inputs!$G$58+1,-$F$209,0)</f>
        <v>0</v>
      </c>
      <c r="AC209" s="296">
        <f>IF(AC$2=Inputs!$G$58+1,-$F$209,0)</f>
        <v>0</v>
      </c>
      <c r="AD209" s="296">
        <f>IF(AD$2=Inputs!$G$58+1,-$F$209,0)</f>
        <v>0</v>
      </c>
      <c r="AE209" s="296">
        <f>IF(AE$2=Inputs!$G$58+1,-$F$209,0)</f>
        <v>0</v>
      </c>
      <c r="AF209" s="296">
        <f>IF(AF$2=Inputs!$G$58+1,-$F$209,0)</f>
        <v>0</v>
      </c>
      <c r="AG209" s="296">
        <f>IF(AG$2=Inputs!$G$58+1,-$F$209,0)</f>
        <v>0</v>
      </c>
      <c r="AH209" s="296">
        <f>IF(AH$2=Inputs!$G$58+1,-$F$209,0)</f>
        <v>0</v>
      </c>
      <c r="AI209" s="296">
        <f>IF(AI$2=Inputs!$G$58+1,-$F$209,0)</f>
        <v>0</v>
      </c>
      <c r="AJ209" s="296">
        <f>IF(AJ$2=Inputs!$G$58+1,-$F$209,0)</f>
        <v>0</v>
      </c>
    </row>
    <row r="210" spans="2:36" ht="16">
      <c r="B210" s="278" t="s">
        <v>179</v>
      </c>
      <c r="C210" s="278"/>
      <c r="D210" s="278"/>
      <c r="E210" s="303"/>
      <c r="F210" s="296">
        <f>Inputs!$Q$76</f>
        <v>1064065.6323816241</v>
      </c>
      <c r="G210" s="296">
        <f>IF(G$2=Inputs!$G$19,-$F$210,0)</f>
        <v>0</v>
      </c>
      <c r="H210" s="296">
        <f>IF(H$2=Inputs!$G$19,-$F$210,0)</f>
        <v>0</v>
      </c>
      <c r="I210" s="296">
        <f>IF(I$2=Inputs!$G$19,-$F$210,0)</f>
        <v>0</v>
      </c>
      <c r="J210" s="296">
        <f>IF(J$2=Inputs!$G$19,-$F$210,0)</f>
        <v>0</v>
      </c>
      <c r="K210" s="296">
        <f>IF(K$2=Inputs!$G$19,-$F$210,0)</f>
        <v>0</v>
      </c>
      <c r="L210" s="296">
        <f>IF(L$2=Inputs!$G$19,-$F$210,0)</f>
        <v>0</v>
      </c>
      <c r="M210" s="296">
        <f>IF(M$2=Inputs!$G$19,-$F$210,0)</f>
        <v>0</v>
      </c>
      <c r="N210" s="296">
        <f>IF(N$2=Inputs!$G$19,-$F$210,0)</f>
        <v>0</v>
      </c>
      <c r="O210" s="296">
        <f>IF(O$2=Inputs!$G$19,-$F$210,0)</f>
        <v>0</v>
      </c>
      <c r="P210" s="296">
        <f>IF(P$2=Inputs!$G$19,-$F$210,0)</f>
        <v>0</v>
      </c>
      <c r="Q210" s="296">
        <f>IF(Q$2=Inputs!$G$19,-$F$210,0)</f>
        <v>0</v>
      </c>
      <c r="R210" s="296">
        <f>IF(R$2=Inputs!$G$19,-$F$210,0)</f>
        <v>0</v>
      </c>
      <c r="S210" s="296">
        <f>IF(S$2=Inputs!$G$19,-$F$210,0)</f>
        <v>0</v>
      </c>
      <c r="T210" s="296">
        <f>IF(T$2=Inputs!$G$19,-$F$210,0)</f>
        <v>0</v>
      </c>
      <c r="U210" s="296">
        <f>IF(U$2=Inputs!$G$19,-$F$210,0)</f>
        <v>0</v>
      </c>
      <c r="V210" s="296">
        <f>IF(V$2=Inputs!$G$19,-$F$210,0)</f>
        <v>0</v>
      </c>
      <c r="W210" s="296">
        <f>IF(W$2=Inputs!$G$19,-$F$210,0)</f>
        <v>0</v>
      </c>
      <c r="X210" s="296">
        <f>IF(X$2=Inputs!$G$19,-$F$210,0)</f>
        <v>0</v>
      </c>
      <c r="Y210" s="296">
        <f>IF(Y$2=Inputs!$G$19,-$F$210,0)</f>
        <v>0</v>
      </c>
      <c r="Z210" s="296">
        <f>IF(Z$2=Inputs!$G$19,-$F$210,0)</f>
        <v>-1064065.6323816241</v>
      </c>
      <c r="AA210" s="296">
        <f>IF(AA$2=Inputs!$G$19,-$F$210,0)</f>
        <v>0</v>
      </c>
      <c r="AB210" s="296">
        <f>IF(AB$2=Inputs!$G$19,-$F$210,0)</f>
        <v>0</v>
      </c>
      <c r="AC210" s="296">
        <f>IF(AC$2=Inputs!$G$19,-$F$210,0)</f>
        <v>0</v>
      </c>
      <c r="AD210" s="296">
        <f>IF(AD$2=Inputs!$G$19,-$F$210,0)</f>
        <v>0</v>
      </c>
      <c r="AE210" s="296">
        <f>IF(AE$2=Inputs!$G$19,-$F$210,0)</f>
        <v>0</v>
      </c>
      <c r="AF210" s="296">
        <f>IF(AF$2=Inputs!$G$19,-$F$210,0)</f>
        <v>0</v>
      </c>
      <c r="AG210" s="296">
        <f>IF(AG$2=Inputs!$G$19,-$F$210,0)</f>
        <v>0</v>
      </c>
      <c r="AH210" s="296">
        <f>IF(AH$2=Inputs!$G$19,-$F$210,0)</f>
        <v>0</v>
      </c>
      <c r="AI210" s="296">
        <f>IF(AI$2=Inputs!$G$19,-$F$210,0)</f>
        <v>0</v>
      </c>
      <c r="AJ210" s="296">
        <f>IF(AJ$2=Inputs!$G$19,-$F$210,0)</f>
        <v>0</v>
      </c>
    </row>
    <row r="211" spans="2:36" ht="16">
      <c r="B211" s="278" t="s">
        <v>357</v>
      </c>
      <c r="C211" s="278"/>
      <c r="D211" s="666" t="s">
        <v>361</v>
      </c>
      <c r="E211" s="667">
        <v>10</v>
      </c>
      <c r="F211" s="321">
        <v>0</v>
      </c>
      <c r="G211" s="296">
        <f>IF(AND(G$2&lt;Inputs!$Q$55,(G$2+$E$211)&gt;=Inputs!$Q$55),$E$139/MIN($E211,(Inputs!$Q$55-1)),IF(G$2=Inputs!$Q$55,-($E$139),0))</f>
        <v>0</v>
      </c>
      <c r="H211" s="296">
        <f>IF(AND(H$2&lt;Inputs!$Q$55,(H$2+$E$211)&gt;=Inputs!$Q$55),$E$139/MIN($E211,(Inputs!$Q$55-1)),IF(H$2=Inputs!$Q$55,-($E$139),0))</f>
        <v>0</v>
      </c>
      <c r="I211" s="296">
        <f>IF(AND(I$2&lt;Inputs!$Q$55,(I$2+$E$211)&gt;=Inputs!$Q$55),$E$139/MIN($E211,(Inputs!$Q$55-1)),IF(I$2=Inputs!$Q$55,-($E$139),0))</f>
        <v>0</v>
      </c>
      <c r="J211" s="296">
        <f>IF(AND(J$2&lt;Inputs!$Q$55,(J$2+$E$211)&gt;=Inputs!$Q$55),$E$139/MIN($E211,(Inputs!$Q$55-1)),IF(J$2=Inputs!$Q$55,-($E$139),0))</f>
        <v>0</v>
      </c>
      <c r="K211" s="296">
        <f>IF(AND(K$2&lt;Inputs!$Q$55,(K$2+$E$211)&gt;=Inputs!$Q$55),$E$139/MIN($E211,(Inputs!$Q$55-1)),IF(K$2=Inputs!$Q$55,-($E$139),0))</f>
        <v>0</v>
      </c>
      <c r="L211" s="296">
        <f>IF(AND(L$2&lt;Inputs!$Q$55,(L$2+$E$211)&gt;=Inputs!$Q$55),$E$139/MIN($E211,(Inputs!$Q$55-1)),IF(L$2=Inputs!$Q$55,-($E$139),0))</f>
        <v>0</v>
      </c>
      <c r="M211" s="296">
        <f>IF(AND(M$2&lt;Inputs!$Q$55,(M$2+$E$211)&gt;=Inputs!$Q$55),$E$139/MIN($E211,(Inputs!$Q$55-1)),IF(M$2=Inputs!$Q$55,-($E$139),0))</f>
        <v>0</v>
      </c>
      <c r="N211" s="296">
        <f>IF(AND(N$2&lt;Inputs!$Q$55,(N$2+$E$211)&gt;=Inputs!$Q$55),$E$139/MIN($E211,(Inputs!$Q$55-1)),IF(N$2=Inputs!$Q$55,-($E$139),0))</f>
        <v>0</v>
      </c>
      <c r="O211" s="296">
        <f>IF(AND(O$2&lt;Inputs!$Q$55,(O$2+$E$211)&gt;=Inputs!$Q$55),$E$139/MIN($E211,(Inputs!$Q$55-1)),IF(O$2=Inputs!$Q$55,-($E$139),0))</f>
        <v>0</v>
      </c>
      <c r="P211" s="296">
        <f>IF(AND(P$2&lt;Inputs!$Q$55,(P$2+$E$211)&gt;=Inputs!$Q$55),$E$139/MIN($E211,(Inputs!$Q$55-1)),IF(P$2=Inputs!$Q$55,-($E$139),0))</f>
        <v>0</v>
      </c>
      <c r="Q211" s="296">
        <f>IF(AND(Q$2&lt;Inputs!$Q$55,(Q$2+$E$211)&gt;=Inputs!$Q$55),$E$139/MIN($E211,(Inputs!$Q$55-1)),IF(Q$2=Inputs!$Q$55,-($E$139),0))</f>
        <v>0</v>
      </c>
      <c r="R211" s="296">
        <f>IF(AND(R$2&lt;Inputs!$Q$55,(R$2+$E$211)&gt;=Inputs!$Q$55),$E$139/MIN($E211,(Inputs!$Q$55-1)),IF(R$2=Inputs!$Q$55,-($E$139),0))</f>
        <v>0</v>
      </c>
      <c r="S211" s="296">
        <f>IF(AND(S$2&lt;Inputs!$Q$55,(S$2+$E$211)&gt;=Inputs!$Q$55),$E$139/MIN($E211,(Inputs!$Q$55-1)),IF(S$2=Inputs!$Q$55,-($E$139),0))</f>
        <v>0</v>
      </c>
      <c r="T211" s="296">
        <f>IF(AND(T$2&lt;Inputs!$Q$55,(T$2+$E$211)&gt;=Inputs!$Q$55),$E$139/MIN($E211,(Inputs!$Q$55-1)),IF(T$2=Inputs!$Q$55,-($E$139),0))</f>
        <v>0</v>
      </c>
      <c r="U211" s="296">
        <f>IF(AND(U$2&lt;Inputs!$Q$55,(U$2+$E$211)&gt;=Inputs!$Q$55),$E$139/MIN($E211,(Inputs!$Q$55-1)),IF(U$2=Inputs!$Q$55,-($E$139),0))</f>
        <v>0</v>
      </c>
      <c r="V211" s="296">
        <f>IF(AND(V$2&lt;Inputs!$Q$55,(V$2+$E$211)&gt;=Inputs!$Q$55),$E$139/MIN($E211,(Inputs!$Q$55-1)),IF(V$2=Inputs!$Q$55,-($E$139),0))</f>
        <v>0</v>
      </c>
      <c r="W211" s="296">
        <f>IF(AND(W$2&lt;Inputs!$Q$55,(W$2+$E$211)&gt;=Inputs!$Q$55),$E$139/MIN($E211,(Inputs!$Q$55-1)),IF(W$2=Inputs!$Q$55,-($E$139),0))</f>
        <v>0</v>
      </c>
      <c r="X211" s="296">
        <f>IF(AND(X$2&lt;Inputs!$Q$55,(X$2+$E$211)&gt;=Inputs!$Q$55),$E$139/MIN($E211,(Inputs!$Q$55-1)),IF(X$2=Inputs!$Q$55,-($E$139),0))</f>
        <v>0</v>
      </c>
      <c r="Y211" s="296">
        <f>IF(AND(Y$2&lt;Inputs!$Q$55,(Y$2+$E$211)&gt;=Inputs!$Q$55),$E$139/MIN($E211,(Inputs!$Q$55-1)),IF(Y$2=Inputs!$Q$55,-($E$139),0))</f>
        <v>0</v>
      </c>
      <c r="Z211" s="296">
        <f>IF(AND(Z$2&lt;Inputs!$Q$55,(Z$2+$E$211)&gt;=Inputs!$Q$55),$E$139/MIN($E211,(Inputs!$Q$55-1)),IF(Z$2=Inputs!$Q$55,-($E$139),0))</f>
        <v>0</v>
      </c>
      <c r="AA211" s="296">
        <f>IF(AND(AA$2&lt;Inputs!$Q$55,(AA$2+$E$211)&gt;=Inputs!$Q$55),$E$139/MIN($E211,(Inputs!$Q$55-1)),IF(AA$2=Inputs!$Q$55,-($E$139),0))</f>
        <v>0</v>
      </c>
      <c r="AB211" s="296">
        <f>IF(AND(AB$2&lt;Inputs!$Q$55,(AB$2+$E$211)&gt;=Inputs!$Q$55),$E$139/MIN($E211,(Inputs!$Q$55-1)),IF(AB$2=Inputs!$Q$55,-($E$139),0))</f>
        <v>0</v>
      </c>
      <c r="AC211" s="296">
        <f>IF(AND(AC$2&lt;Inputs!$Q$55,(AC$2+$E$211)&gt;=Inputs!$Q$55),$E$139/MIN($E211,(Inputs!$Q$55-1)),IF(AC$2=Inputs!$Q$55,-($E$139),0))</f>
        <v>0</v>
      </c>
      <c r="AD211" s="296">
        <f>IF(AND(AD$2&lt;Inputs!$Q$55,(AD$2+$E$211)&gt;=Inputs!$Q$55),$E$139/MIN($E211,(Inputs!$Q$55-1)),IF(AD$2=Inputs!$Q$55,-($E$139),0))</f>
        <v>0</v>
      </c>
      <c r="AE211" s="296">
        <f>IF(AND(AE$2&lt;Inputs!$Q$55,(AE$2+$E$211)&gt;=Inputs!$Q$55),$E$139/MIN($E211,(Inputs!$Q$55-1)),IF(AE$2=Inputs!$Q$55,-($E$139),0))</f>
        <v>0</v>
      </c>
      <c r="AF211" s="296">
        <f>IF(AND(AF$2&lt;Inputs!$Q$55,(AF$2+$E$211)&gt;=Inputs!$Q$55),$E$139/MIN($E211,(Inputs!$Q$55-1)),IF(AF$2=Inputs!$Q$55,-($E$139),0))</f>
        <v>0</v>
      </c>
      <c r="AG211" s="296">
        <f>IF(AND(AG$2&lt;Inputs!$Q$55,(AG$2+$E$211)&gt;=Inputs!$Q$55),$E$139/MIN($E211,(Inputs!$Q$55-1)),IF(AG$2=Inputs!$Q$55,-($E$139),0))</f>
        <v>0</v>
      </c>
      <c r="AH211" s="296">
        <f>IF(AND(AH$2&lt;Inputs!$Q$55,(AH$2+$E$211)&gt;=Inputs!$Q$55),$E$139/MIN($E211,(Inputs!$Q$55-1)),IF(AH$2=Inputs!$Q$55,-($E$139),0))</f>
        <v>0</v>
      </c>
      <c r="AI211" s="296">
        <f>IF(AND(AI$2&lt;Inputs!$Q$55,(AI$2+$E$211)&gt;=Inputs!$Q$55),$E$139/MIN($E211,(Inputs!$Q$55-1)),IF(AI$2=Inputs!$Q$55,-($E$139),0))</f>
        <v>0</v>
      </c>
      <c r="AJ211" s="296">
        <f>IF(AND(AJ$2&lt;Inputs!$Q$55,(AJ$2+$E$211)&gt;=Inputs!$Q$55),$E$139/MIN($E211,(Inputs!$Q$55-1)),IF(AJ$2=Inputs!$Q$55,-($E$139),0))</f>
        <v>0</v>
      </c>
    </row>
    <row r="212" spans="2:36" ht="16">
      <c r="B212" s="278" t="s">
        <v>358</v>
      </c>
      <c r="C212" s="278"/>
      <c r="D212" s="666" t="s">
        <v>361</v>
      </c>
      <c r="E212" s="667">
        <v>10</v>
      </c>
      <c r="F212" s="321">
        <v>0</v>
      </c>
      <c r="G212" s="296">
        <f>IF(AND(G$2&lt;Inputs!$Q$57,(G$2+$E$212)&gt;=Inputs!$Q$57),$E$142/MIN($E212,(Inputs!$Q$57-1)),IF(G$2=Inputs!$Q$57,-($E$142),0))</f>
        <v>0</v>
      </c>
      <c r="H212" s="296">
        <f>IF(AND(H$2&lt;Inputs!$Q$57,(H$2+$E$212)&gt;=Inputs!$Q$57),$E$142/MIN($E212,(Inputs!$Q$57-1)),IF(H$2=Inputs!$Q$57,-($E$142),0))</f>
        <v>0</v>
      </c>
      <c r="I212" s="296">
        <f>IF(AND(I$2&lt;Inputs!$Q$57,(I$2+$E$212)&gt;=Inputs!$Q$57),$E$142/MIN($E212,(Inputs!$Q$57-1)),IF(I$2=Inputs!$Q$57,-($E$142),0))</f>
        <v>0</v>
      </c>
      <c r="J212" s="296">
        <f>IF(AND(J$2&lt;Inputs!$Q$57,(J$2+$E$212)&gt;=Inputs!$Q$57),$E$142/MIN($E212,(Inputs!$Q$57-1)),IF(J$2=Inputs!$Q$57,-($E$142),0))</f>
        <v>0</v>
      </c>
      <c r="K212" s="296">
        <f>IF(AND(K$2&lt;Inputs!$Q$57,(K$2+$E$212)&gt;=Inputs!$Q$57),$E$142/MIN($E212,(Inputs!$Q$57-1)),IF(K$2=Inputs!$Q$57,-($E$142),0))</f>
        <v>0</v>
      </c>
      <c r="L212" s="296">
        <f>IF(AND(L$2&lt;Inputs!$Q$57,(L$2+$E$212)&gt;=Inputs!$Q$57),$E$142/MIN($E212,(Inputs!$Q$57-1)),IF(L$2=Inputs!$Q$57,-($E$142),0))</f>
        <v>0</v>
      </c>
      <c r="M212" s="296">
        <f>IF(AND(M$2&lt;Inputs!$Q$57,(M$2+$E$212)&gt;=Inputs!$Q$57),$E$142/MIN($E212,(Inputs!$Q$57-1)),IF(M$2=Inputs!$Q$57,-($E$142),0))</f>
        <v>0</v>
      </c>
      <c r="N212" s="296">
        <f>IF(AND(N$2&lt;Inputs!$Q$57,(N$2+$E$212)&gt;=Inputs!$Q$57),$E$142/MIN($E212,(Inputs!$Q$57-1)),IF(N$2=Inputs!$Q$57,-($E$142),0))</f>
        <v>0</v>
      </c>
      <c r="O212" s="296">
        <f>IF(AND(O$2&lt;Inputs!$Q$57,(O$2+$E$212)&gt;=Inputs!$Q$57),$E$142/MIN($E212,(Inputs!$Q$57-1)),IF(O$2=Inputs!$Q$57,-($E$142),0))</f>
        <v>0</v>
      </c>
      <c r="P212" s="296">
        <f>IF(AND(P$2&lt;Inputs!$Q$57,(P$2+$E$212)&gt;=Inputs!$Q$57),$E$142/MIN($E212,(Inputs!$Q$57-1)),IF(P$2=Inputs!$Q$57,-($E$142),0))</f>
        <v>0</v>
      </c>
      <c r="Q212" s="296">
        <f>IF(AND(Q$2&lt;Inputs!$Q$57,(Q$2+$E$212)&gt;=Inputs!$Q$57),$E$142/MIN($E212,(Inputs!$Q$57-1)),IF(Q$2=Inputs!$Q$57,-($E$142),0))</f>
        <v>0</v>
      </c>
      <c r="R212" s="296">
        <f>IF(AND(R$2&lt;Inputs!$Q$57,(R$2+$E$212)&gt;=Inputs!$Q$57),$E$142/MIN($E212,(Inputs!$Q$57-1)),IF(R$2=Inputs!$Q$57,-($E$142),0))</f>
        <v>0</v>
      </c>
      <c r="S212" s="296">
        <f>IF(AND(S$2&lt;Inputs!$Q$57,(S$2+$E$212)&gt;=Inputs!$Q$57),$E$142/MIN($E212,(Inputs!$Q$57-1)),IF(S$2=Inputs!$Q$57,-($E$142),0))</f>
        <v>0</v>
      </c>
      <c r="T212" s="296">
        <f>IF(AND(T$2&lt;Inputs!$Q$57,(T$2+$E$212)&gt;=Inputs!$Q$57),$E$142/MIN($E212,(Inputs!$Q$57-1)),IF(T$2=Inputs!$Q$57,-($E$142),0))</f>
        <v>0</v>
      </c>
      <c r="U212" s="296">
        <f>IF(AND(U$2&lt;Inputs!$Q$57,(U$2+$E$212)&gt;=Inputs!$Q$57),$E$142/MIN($E212,(Inputs!$Q$57-1)),IF(U$2=Inputs!$Q$57,-($E$142),0))</f>
        <v>0</v>
      </c>
      <c r="V212" s="296">
        <f>IF(AND(V$2&lt;Inputs!$Q$57,(V$2+$E$212)&gt;=Inputs!$Q$57),$E$142/MIN($E212,(Inputs!$Q$57-1)),IF(V$2=Inputs!$Q$57,-($E$142),0))</f>
        <v>0</v>
      </c>
      <c r="W212" s="296">
        <f>IF(AND(W$2&lt;Inputs!$Q$57,(W$2+$E$212)&gt;=Inputs!$Q$57),$E$142/MIN($E212,(Inputs!$Q$57-1)),IF(W$2=Inputs!$Q$57,-($E$142),0))</f>
        <v>0</v>
      </c>
      <c r="X212" s="296">
        <f>IF(AND(X$2&lt;Inputs!$Q$57,(X$2+$E$212)&gt;=Inputs!$Q$57),$E$142/MIN($E212,(Inputs!$Q$57-1)),IF(X$2=Inputs!$Q$57,-($E$142),0))</f>
        <v>0</v>
      </c>
      <c r="Y212" s="296">
        <f>IF(AND(Y$2&lt;Inputs!$Q$57,(Y$2+$E$212)&gt;=Inputs!$Q$57),$E$142/MIN($E212,(Inputs!$Q$57-1)),IF(Y$2=Inputs!$Q$57,-($E$142),0))</f>
        <v>0</v>
      </c>
      <c r="Z212" s="296">
        <f>IF(AND(Z$2&lt;Inputs!$Q$57,(Z$2+$E$212)&gt;=Inputs!$Q$57),$E$142/MIN($E212,(Inputs!$Q$57-1)),IF(Z$2=Inputs!$Q$57,-($E$142),0))</f>
        <v>0</v>
      </c>
      <c r="AA212" s="296">
        <f>IF(AND(AA$2&lt;Inputs!$Q$57,(AA$2+$E$212)&gt;=Inputs!$Q$57),$E$142/MIN($E212,(Inputs!$Q$57-1)),IF(AA$2=Inputs!$Q$57,-($E$142),0))</f>
        <v>0</v>
      </c>
      <c r="AB212" s="296">
        <f>IF(AND(AB$2&lt;Inputs!$Q$57,(AB$2+$E$212)&gt;=Inputs!$Q$57),$E$142/MIN($E212,(Inputs!$Q$57-1)),IF(AB$2=Inputs!$Q$57,-($E$142),0))</f>
        <v>0</v>
      </c>
      <c r="AC212" s="296">
        <f>IF(AND(AC$2&lt;Inputs!$Q$57,(AC$2+$E$212)&gt;=Inputs!$Q$57),$E$142/MIN($E212,(Inputs!$Q$57-1)),IF(AC$2=Inputs!$Q$57,-($E$142),0))</f>
        <v>0</v>
      </c>
      <c r="AD212" s="296">
        <f>IF(AND(AD$2&lt;Inputs!$Q$57,(AD$2+$E$212)&gt;=Inputs!$Q$57),$E$142/MIN($E212,(Inputs!$Q$57-1)),IF(AD$2=Inputs!$Q$57,-($E$142),0))</f>
        <v>0</v>
      </c>
      <c r="AE212" s="296">
        <f>IF(AND(AE$2&lt;Inputs!$Q$57,(AE$2+$E$212)&gt;=Inputs!$Q$57),$E$142/MIN($E212,(Inputs!$Q$57-1)),IF(AE$2=Inputs!$Q$57,-($E$142),0))</f>
        <v>0</v>
      </c>
      <c r="AF212" s="296">
        <f>IF(AND(AF$2&lt;Inputs!$Q$57,(AF$2+$E$212)&gt;=Inputs!$Q$57),$E$142/MIN($E212,(Inputs!$Q$57-1)),IF(AF$2=Inputs!$Q$57,-($E$142),0))</f>
        <v>0</v>
      </c>
      <c r="AG212" s="296">
        <f>IF(AND(AG$2&lt;Inputs!$Q$57,(AG$2+$E$212)&gt;=Inputs!$Q$57),$E$142/MIN($E212,(Inputs!$Q$57-1)),IF(AG$2=Inputs!$Q$57,-($E$142),0))</f>
        <v>0</v>
      </c>
      <c r="AH212" s="296">
        <f>IF(AND(AH$2&lt;Inputs!$Q$57,(AH$2+$E$212)&gt;=Inputs!$Q$57),$E$142/MIN($E212,(Inputs!$Q$57-1)),IF(AH$2=Inputs!$Q$57,-($E$142),0))</f>
        <v>0</v>
      </c>
      <c r="AI212" s="296">
        <f>IF(AND(AI$2&lt;Inputs!$Q$57,(AI$2+$E$212)&gt;=Inputs!$Q$57),$E$142/MIN($E212,(Inputs!$Q$57-1)),IF(AI$2=Inputs!$Q$57,-($E$142),0))</f>
        <v>0</v>
      </c>
      <c r="AJ212" s="296">
        <f>IF(AND(AJ$2&lt;Inputs!$Q$57,(AJ$2+$E$212)&gt;=Inputs!$Q$57),$E$142/MIN($E212,(Inputs!$Q$57-1)),IF(AJ$2=Inputs!$Q$57,-($E$142),0))</f>
        <v>0</v>
      </c>
    </row>
    <row r="213" spans="2:36" ht="16">
      <c r="B213" s="278" t="s">
        <v>359</v>
      </c>
      <c r="C213" s="278"/>
      <c r="D213" s="666" t="s">
        <v>361</v>
      </c>
      <c r="E213" s="667">
        <v>10</v>
      </c>
      <c r="F213" s="321">
        <v>0</v>
      </c>
      <c r="G213" s="296">
        <f>IF(AND(G$2&lt;Inputs!$Q$59,(G$2+$E$213)&gt;=Inputs!$Q$59),$E$145/MIN($E213,(Inputs!$Q$59-1)),IF(G$2=Inputs!$Q$59,-($E$145),0))</f>
        <v>0</v>
      </c>
      <c r="H213" s="296">
        <f>IF(AND(H$2&lt;Inputs!$Q$59,(H$2+$E$213)&gt;=Inputs!$Q$59),$E$145/MIN($E213,(Inputs!$Q$59-1)),IF(H$2=Inputs!$Q$59,-($E$145),0))</f>
        <v>0</v>
      </c>
      <c r="I213" s="296">
        <f>IF(AND(I$2&lt;Inputs!$Q$59,(I$2+$E$213)&gt;=Inputs!$Q$59),$E$145/MIN($E213,(Inputs!$Q$59-1)),IF(I$2=Inputs!$Q$59,-($E$145),0))</f>
        <v>0</v>
      </c>
      <c r="J213" s="296">
        <f>IF(AND(J$2&lt;Inputs!$Q$59,(J$2+$E$213)&gt;=Inputs!$Q$59),$E$145/MIN($E213,(Inputs!$Q$59-1)),IF(J$2=Inputs!$Q$59,-($E$145),0))</f>
        <v>0</v>
      </c>
      <c r="K213" s="296">
        <f>IF(AND(K$2&lt;Inputs!$Q$59,(K$2+$E$213)&gt;=Inputs!$Q$59),$E$145/MIN($E213,(Inputs!$Q$59-1)),IF(K$2=Inputs!$Q$59,-($E$145),0))</f>
        <v>0</v>
      </c>
      <c r="L213" s="296">
        <f>IF(AND(L$2&lt;Inputs!$Q$59,(L$2+$E$213)&gt;=Inputs!$Q$59),$E$145/MIN($E213,(Inputs!$Q$59-1)),IF(L$2=Inputs!$Q$59,-($E$145),0))</f>
        <v>0</v>
      </c>
      <c r="M213" s="296">
        <f>IF(AND(M$2&lt;Inputs!$Q$59,(M$2+$E$213)&gt;=Inputs!$Q$59),$E$145/MIN($E213,(Inputs!$Q$59-1)),IF(M$2=Inputs!$Q$59,-($E$145),0))</f>
        <v>0</v>
      </c>
      <c r="N213" s="296">
        <f>IF(AND(N$2&lt;Inputs!$Q$59,(N$2+$E$213)&gt;=Inputs!$Q$59),$E$145/MIN($E213,(Inputs!$Q$59-1)),IF(N$2=Inputs!$Q$59,-($E$145),0))</f>
        <v>0</v>
      </c>
      <c r="O213" s="296">
        <f>IF(AND(O$2&lt;Inputs!$Q$59,(O$2+$E$213)&gt;=Inputs!$Q$59),$E$145/MIN($E213,(Inputs!$Q$59-1)),IF(O$2=Inputs!$Q$59,-($E$145),0))</f>
        <v>0</v>
      </c>
      <c r="P213" s="296">
        <f>IF(AND(P$2&lt;Inputs!$Q$59,(P$2+$E$213)&gt;=Inputs!$Q$59),$E$145/MIN($E213,(Inputs!$Q$59-1)),IF(P$2=Inputs!$Q$59,-($E$145),0))</f>
        <v>0</v>
      </c>
      <c r="Q213" s="296">
        <f>IF(AND(Q$2&lt;Inputs!$Q$59,(Q$2+$E$213)&gt;=Inputs!$Q$59),$E$145/MIN($E213,(Inputs!$Q$59-1)),IF(Q$2=Inputs!$Q$59,-($E$145),0))</f>
        <v>0</v>
      </c>
      <c r="R213" s="296">
        <f>IF(AND(R$2&lt;Inputs!$Q$59,(R$2+$E$213)&gt;=Inputs!$Q$59),$E$145/MIN($E213,(Inputs!$Q$59-1)),IF(R$2=Inputs!$Q$59,-($E$145),0))</f>
        <v>0</v>
      </c>
      <c r="S213" s="296">
        <f>IF(AND(S$2&lt;Inputs!$Q$59,(S$2+$E$213)&gt;=Inputs!$Q$59),$E$145/MIN($E213,(Inputs!$Q$59-1)),IF(S$2=Inputs!$Q$59,-($E$145),0))</f>
        <v>0</v>
      </c>
      <c r="T213" s="296">
        <f>IF(AND(T$2&lt;Inputs!$Q$59,(T$2+$E$213)&gt;=Inputs!$Q$59),$E$145/MIN($E213,(Inputs!$Q$59-1)),IF(T$2=Inputs!$Q$59,-($E$145),0))</f>
        <v>0</v>
      </c>
      <c r="U213" s="296">
        <f>IF(AND(U$2&lt;Inputs!$Q$59,(U$2+$E$213)&gt;=Inputs!$Q$59),$E$145/MIN($E213,(Inputs!$Q$59-1)),IF(U$2=Inputs!$Q$59,-($E$145),0))</f>
        <v>0</v>
      </c>
      <c r="V213" s="296">
        <f>IF(AND(V$2&lt;Inputs!$Q$59,(V$2+$E$213)&gt;=Inputs!$Q$59),$E$145/MIN($E213,(Inputs!$Q$59-1)),IF(V$2=Inputs!$Q$59,-($E$145),0))</f>
        <v>0</v>
      </c>
      <c r="W213" s="296">
        <f>IF(AND(W$2&lt;Inputs!$Q$59,(W$2+$E$213)&gt;=Inputs!$Q$59),$E$145/MIN($E213,(Inputs!$Q$59-1)),IF(W$2=Inputs!$Q$59,-($E$145),0))</f>
        <v>0</v>
      </c>
      <c r="X213" s="296">
        <f>IF(AND(X$2&lt;Inputs!$Q$59,(X$2+$E$213)&gt;=Inputs!$Q$59),$E$145/MIN($E213,(Inputs!$Q$59-1)),IF(X$2=Inputs!$Q$59,-($E$145),0))</f>
        <v>0</v>
      </c>
      <c r="Y213" s="296">
        <f>IF(AND(Y$2&lt;Inputs!$Q$59,(Y$2+$E$213)&gt;=Inputs!$Q$59),$E$145/MIN($E213,(Inputs!$Q$59-1)),IF(Y$2=Inputs!$Q$59,-($E$145),0))</f>
        <v>0</v>
      </c>
      <c r="Z213" s="296">
        <f>IF(AND(Z$2&lt;Inputs!$Q$59,(Z$2+$E$213)&gt;=Inputs!$Q$59),$E$145/MIN($E213,(Inputs!$Q$59-1)),IF(Z$2=Inputs!$Q$59,-($E$145),0))</f>
        <v>0</v>
      </c>
      <c r="AA213" s="296">
        <f>IF(AND(AA$2&lt;Inputs!$Q$59,(AA$2+$E$213)&gt;=Inputs!$Q$59),$E$145/MIN($E213,(Inputs!$Q$59-1)),IF(AA$2=Inputs!$Q$59,-($E$145),0))</f>
        <v>0</v>
      </c>
      <c r="AB213" s="296">
        <f>IF(AND(AB$2&lt;Inputs!$Q$59,(AB$2+$E$213)&gt;=Inputs!$Q$59),$E$145/MIN($E213,(Inputs!$Q$59-1)),IF(AB$2=Inputs!$Q$59,-($E$145),0))</f>
        <v>0</v>
      </c>
      <c r="AC213" s="296">
        <f>IF(AND(AC$2&lt;Inputs!$Q$59,(AC$2+$E$213)&gt;=Inputs!$Q$59),$E$145/MIN($E213,(Inputs!$Q$59-1)),IF(AC$2=Inputs!$Q$59,-($E$145),0))</f>
        <v>0</v>
      </c>
      <c r="AD213" s="296">
        <f>IF(AND(AD$2&lt;Inputs!$Q$59,(AD$2+$E$213)&gt;=Inputs!$Q$59),$E$145/MIN($E213,(Inputs!$Q$59-1)),IF(AD$2=Inputs!$Q$59,-($E$145),0))</f>
        <v>0</v>
      </c>
      <c r="AE213" s="296">
        <f>IF(AND(AE$2&lt;Inputs!$Q$59,(AE$2+$E$213)&gt;=Inputs!$Q$59),$E$145/MIN($E213,(Inputs!$Q$59-1)),IF(AE$2=Inputs!$Q$59,-($E$145),0))</f>
        <v>0</v>
      </c>
      <c r="AF213" s="296">
        <f>IF(AND(AF$2&lt;Inputs!$Q$59,(AF$2+$E$213)&gt;=Inputs!$Q$59),$E$145/MIN($E213,(Inputs!$Q$59-1)),IF(AF$2=Inputs!$Q$59,-($E$145),0))</f>
        <v>0</v>
      </c>
      <c r="AG213" s="296">
        <f>IF(AND(AG$2&lt;Inputs!$Q$59,(AG$2+$E$213)&gt;=Inputs!$Q$59),$E$145/MIN($E213,(Inputs!$Q$59-1)),IF(AG$2=Inputs!$Q$59,-($E$145),0))</f>
        <v>0</v>
      </c>
      <c r="AH213" s="296">
        <f>IF(AND(AH$2&lt;Inputs!$Q$59,(AH$2+$E$213)&gt;=Inputs!$Q$59),$E$145/MIN($E213,(Inputs!$Q$59-1)),IF(AH$2=Inputs!$Q$59,-($E$145),0))</f>
        <v>0</v>
      </c>
      <c r="AI213" s="296">
        <f>IF(AND(AI$2&lt;Inputs!$Q$59,(AI$2+$E$213)&gt;=Inputs!$Q$59),$E$145/MIN($E213,(Inputs!$Q$59-1)),IF(AI$2=Inputs!$Q$59,-($E$145),0))</f>
        <v>0</v>
      </c>
      <c r="AJ213" s="296">
        <f>IF(AND(AJ$2&lt;Inputs!$Q$59,(AJ$2+$E$213)&gt;=Inputs!$Q$59),$E$145/MIN($E213,(Inputs!$Q$59-1)),IF(AJ$2=Inputs!$Q$59,-($E$145),0))</f>
        <v>0</v>
      </c>
    </row>
    <row r="214" spans="2:36" ht="16">
      <c r="B214" s="278" t="s">
        <v>360</v>
      </c>
      <c r="C214" s="278"/>
      <c r="D214" s="666" t="s">
        <v>361</v>
      </c>
      <c r="E214" s="667">
        <v>10</v>
      </c>
      <c r="F214" s="321">
        <v>0</v>
      </c>
      <c r="G214" s="296">
        <f>IF(AND(G$2&lt;Inputs!$Q$61,(G$2+$E$214)&gt;=Inputs!$Q$61),$E$148/MIN($E214,(Inputs!$Q$61-1)),IF(G$2=Inputs!$Q$61,-($E$148),0))</f>
        <v>0</v>
      </c>
      <c r="H214" s="296">
        <f>IF(AND(H$2&lt;Inputs!$Q$61,(H$2+$E$214)&gt;=Inputs!$Q$61),$E$148/MIN($E214,(Inputs!$Q$61-1)),IF(H$2=Inputs!$Q$61,-($E$148),0))</f>
        <v>0</v>
      </c>
      <c r="I214" s="296">
        <f>IF(AND(I$2&lt;Inputs!$Q$61,(I$2+$E$214)&gt;=Inputs!$Q$61),$E$148/MIN($E214,(Inputs!$Q$61-1)),IF(I$2=Inputs!$Q$61,-($E$148),0))</f>
        <v>0</v>
      </c>
      <c r="J214" s="296">
        <f>IF(AND(J$2&lt;Inputs!$Q$61,(J$2+$E$214)&gt;=Inputs!$Q$61),$E$148/MIN($E214,(Inputs!$Q$61-1)),IF(J$2=Inputs!$Q$61,-($E$148),0))</f>
        <v>0</v>
      </c>
      <c r="K214" s="296">
        <f>IF(AND(K$2&lt;Inputs!$Q$61,(K$2+$E$214)&gt;=Inputs!$Q$61),$E$148/MIN($E214,(Inputs!$Q$61-1)),IF(K$2=Inputs!$Q$61,-($E$148),0))</f>
        <v>0</v>
      </c>
      <c r="L214" s="296">
        <f>IF(AND(L$2&lt;Inputs!$Q$61,(L$2+$E$214)&gt;=Inputs!$Q$61),$E$148/MIN($E214,(Inputs!$Q$61-1)),IF(L$2=Inputs!$Q$61,-($E$148),0))</f>
        <v>0</v>
      </c>
      <c r="M214" s="296">
        <f>IF(AND(M$2&lt;Inputs!$Q$61,(M$2+$E$214)&gt;=Inputs!$Q$61),$E$148/MIN($E214,(Inputs!$Q$61-1)),IF(M$2=Inputs!$Q$61,-($E$148),0))</f>
        <v>0</v>
      </c>
      <c r="N214" s="296">
        <f>IF(AND(N$2&lt;Inputs!$Q$61,(N$2+$E$214)&gt;=Inputs!$Q$61),$E$148/MIN($E214,(Inputs!$Q$61-1)),IF(N$2=Inputs!$Q$61,-($E$148),0))</f>
        <v>0</v>
      </c>
      <c r="O214" s="296">
        <f>IF(AND(O$2&lt;Inputs!$Q$61,(O$2+$E$214)&gt;=Inputs!$Q$61),$E$148/MIN($E214,(Inputs!$Q$61-1)),IF(O$2=Inputs!$Q$61,-($E$148),0))</f>
        <v>0</v>
      </c>
      <c r="P214" s="296">
        <f>IF(AND(P$2&lt;Inputs!$Q$61,(P$2+$E$214)&gt;=Inputs!$Q$61),$E$148/MIN($E214,(Inputs!$Q$61-1)),IF(P$2=Inputs!$Q$61,-($E$148),0))</f>
        <v>0</v>
      </c>
      <c r="Q214" s="296">
        <f>IF(AND(Q$2&lt;Inputs!$Q$61,(Q$2+$E$214)&gt;=Inputs!$Q$61),$E$148/MIN($E214,(Inputs!$Q$61-1)),IF(Q$2=Inputs!$Q$61,-($E$148),0))</f>
        <v>0</v>
      </c>
      <c r="R214" s="296">
        <f>IF(AND(R$2&lt;Inputs!$Q$61,(R$2+$E$214)&gt;=Inputs!$Q$61),$E$148/MIN($E214,(Inputs!$Q$61-1)),IF(R$2=Inputs!$Q$61,-($E$148),0))</f>
        <v>0</v>
      </c>
      <c r="S214" s="296">
        <f>IF(AND(S$2&lt;Inputs!$Q$61,(S$2+$E$214)&gt;=Inputs!$Q$61),$E$148/MIN($E214,(Inputs!$Q$61-1)),IF(S$2=Inputs!$Q$61,-($E$148),0))</f>
        <v>0</v>
      </c>
      <c r="T214" s="296">
        <f>IF(AND(T$2&lt;Inputs!$Q$61,(T$2+$E$214)&gt;=Inputs!$Q$61),$E$148/MIN($E214,(Inputs!$Q$61-1)),IF(T$2=Inputs!$Q$61,-($E$148),0))</f>
        <v>0</v>
      </c>
      <c r="U214" s="296">
        <f>IF(AND(U$2&lt;Inputs!$Q$61,(U$2+$E$214)&gt;=Inputs!$Q$61),$E$148/MIN($E214,(Inputs!$Q$61-1)),IF(U$2=Inputs!$Q$61,-($E$148),0))</f>
        <v>0</v>
      </c>
      <c r="V214" s="296">
        <f>IF(AND(V$2&lt;Inputs!$Q$61,(V$2+$E$214)&gt;=Inputs!$Q$61),$E$148/MIN($E214,(Inputs!$Q$61-1)),IF(V$2=Inputs!$Q$61,-($E$148),0))</f>
        <v>0</v>
      </c>
      <c r="W214" s="296">
        <f>IF(AND(W$2&lt;Inputs!$Q$61,(W$2+$E$214)&gt;=Inputs!$Q$61),$E$148/MIN($E214,(Inputs!$Q$61-1)),IF(W$2=Inputs!$Q$61,-($E$148),0))</f>
        <v>0</v>
      </c>
      <c r="X214" s="296">
        <f>IF(AND(X$2&lt;Inputs!$Q$61,(X$2+$E$214)&gt;=Inputs!$Q$61),$E$148/MIN($E214,(Inputs!$Q$61-1)),IF(X$2=Inputs!$Q$61,-($E$148),0))</f>
        <v>0</v>
      </c>
      <c r="Y214" s="296">
        <f>IF(AND(Y$2&lt;Inputs!$Q$61,(Y$2+$E$214)&gt;=Inputs!$Q$61),$E$148/MIN($E214,(Inputs!$Q$61-1)),IF(Y$2=Inputs!$Q$61,-($E$148),0))</f>
        <v>0</v>
      </c>
      <c r="Z214" s="296">
        <f>IF(AND(Z$2&lt;Inputs!$Q$61,(Z$2+$E$214)&gt;=Inputs!$Q$61),$E$148/MIN($E214,(Inputs!$Q$61-1)),IF(Z$2=Inputs!$Q$61,-($E$148),0))</f>
        <v>0</v>
      </c>
      <c r="AA214" s="296">
        <f>IF(AND(AA$2&lt;Inputs!$Q$61,(AA$2+$E$214)&gt;=Inputs!$Q$61),$E$148/MIN($E214,(Inputs!$Q$61-1)),IF(AA$2=Inputs!$Q$61,-($E$148),0))</f>
        <v>0</v>
      </c>
      <c r="AB214" s="296">
        <f>IF(AND(AB$2&lt;Inputs!$Q$61,(AB$2+$E$214)&gt;=Inputs!$Q$61),$E$148/MIN($E214,(Inputs!$Q$61-1)),IF(AB$2=Inputs!$Q$61,-($E$148),0))</f>
        <v>0</v>
      </c>
      <c r="AC214" s="296">
        <f>IF(AND(AC$2&lt;Inputs!$Q$61,(AC$2+$E$214)&gt;=Inputs!$Q$61),$E$148/MIN($E214,(Inputs!$Q$61-1)),IF(AC$2=Inputs!$Q$61,-($E$148),0))</f>
        <v>0</v>
      </c>
      <c r="AD214" s="296">
        <f>IF(AND(AD$2&lt;Inputs!$Q$61,(AD$2+$E$214)&gt;=Inputs!$Q$61),$E$148/MIN($E214,(Inputs!$Q$61-1)),IF(AD$2=Inputs!$Q$61,-($E$148),0))</f>
        <v>0</v>
      </c>
      <c r="AE214" s="296">
        <f>IF(AND(AE$2&lt;Inputs!$Q$61,(AE$2+$E$214)&gt;=Inputs!$Q$61),$E$148/MIN($E214,(Inputs!$Q$61-1)),IF(AE$2=Inputs!$Q$61,-($E$148),0))</f>
        <v>0</v>
      </c>
      <c r="AF214" s="296">
        <f>IF(AND(AF$2&lt;Inputs!$Q$61,(AF$2+$E$214)&gt;=Inputs!$Q$61),$E$148/MIN($E214,(Inputs!$Q$61-1)),IF(AF$2=Inputs!$Q$61,-($E$148),0))</f>
        <v>0</v>
      </c>
      <c r="AG214" s="296">
        <f>IF(AND(AG$2&lt;Inputs!$Q$61,(AG$2+$E$214)&gt;=Inputs!$Q$61),$E$148/MIN($E214,(Inputs!$Q$61-1)),IF(AG$2=Inputs!$Q$61,-($E$148),0))</f>
        <v>0</v>
      </c>
      <c r="AH214" s="296">
        <f>IF(AND(AH$2&lt;Inputs!$Q$61,(AH$2+$E$214)&gt;=Inputs!$Q$61),$E$148/MIN($E214,(Inputs!$Q$61-1)),IF(AH$2=Inputs!$Q$61,-($E$148),0))</f>
        <v>0</v>
      </c>
      <c r="AI214" s="296">
        <f>IF(AND(AI$2&lt;Inputs!$Q$61,(AI$2+$E$214)&gt;=Inputs!$Q$61),$E$148/MIN($E214,(Inputs!$Q$61-1)),IF(AI$2=Inputs!$Q$61,-($E$148),0))</f>
        <v>0</v>
      </c>
      <c r="AJ214" s="296">
        <f>IF(AND(AJ$2&lt;Inputs!$Q$61,(AJ$2+$E$214)&gt;=Inputs!$Q$61),$E$148/MIN($E214,(Inputs!$Q$61-1)),IF(AJ$2=Inputs!$Q$61,-($E$148),0))</f>
        <v>0</v>
      </c>
    </row>
    <row r="215" spans="2:36" ht="16">
      <c r="B215" s="278" t="s">
        <v>43</v>
      </c>
      <c r="C215" s="278"/>
      <c r="D215" s="278"/>
      <c r="E215" s="303"/>
      <c r="F215" s="321">
        <v>0</v>
      </c>
      <c r="G215" s="296">
        <f>IF(OR(G$2&gt;Inputs!$G$19,Inputs!$Q$67="salvage"),0,Inputs!$Q$68/Inputs!$Q$13)</f>
        <v>0</v>
      </c>
      <c r="H215" s="296">
        <f>IF(OR(H$2&gt;Inputs!$G$19,Inputs!$Q$67="salvage"),0,Inputs!$Q$68/Inputs!$Q$13)</f>
        <v>0</v>
      </c>
      <c r="I215" s="296">
        <f>IF(OR(I$2&gt;Inputs!$G$19,Inputs!$Q$67="salvage"),0,Inputs!$Q$68/Inputs!$Q$13)</f>
        <v>0</v>
      </c>
      <c r="J215" s="296">
        <f>IF(OR(J$2&gt;Inputs!$G$19,Inputs!$Q$67="salvage"),0,Inputs!$Q$68/Inputs!$Q$13)</f>
        <v>0</v>
      </c>
      <c r="K215" s="296">
        <f>IF(OR(K$2&gt;Inputs!$G$19,Inputs!$Q$67="salvage"),0,Inputs!$Q$68/Inputs!$Q$13)</f>
        <v>0</v>
      </c>
      <c r="L215" s="296">
        <f>IF(OR(L$2&gt;Inputs!$G$19,Inputs!$Q$67="salvage"),0,Inputs!$Q$68/Inputs!$Q$13)</f>
        <v>0</v>
      </c>
      <c r="M215" s="296">
        <f>IF(OR(M$2&gt;Inputs!$G$19,Inputs!$Q$67="salvage"),0,Inputs!$Q$68/Inputs!$Q$13)</f>
        <v>0</v>
      </c>
      <c r="N215" s="296">
        <f>IF(OR(N$2&gt;Inputs!$G$19,Inputs!$Q$67="salvage"),0,Inputs!$Q$68/Inputs!$Q$13)</f>
        <v>0</v>
      </c>
      <c r="O215" s="296">
        <f>IF(OR(O$2&gt;Inputs!$G$19,Inputs!$Q$67="salvage"),0,Inputs!$Q$68/Inputs!$Q$13)</f>
        <v>0</v>
      </c>
      <c r="P215" s="296">
        <f>IF(OR(P$2&gt;Inputs!$G$19,Inputs!$Q$67="salvage"),0,Inputs!$Q$68/Inputs!$Q$13)</f>
        <v>0</v>
      </c>
      <c r="Q215" s="296">
        <f>IF(OR(Q$2&gt;Inputs!$G$19,Inputs!$Q$67="salvage"),0,Inputs!$Q$68/Inputs!$Q$13)</f>
        <v>0</v>
      </c>
      <c r="R215" s="296">
        <f>IF(OR(R$2&gt;Inputs!$G$19,Inputs!$Q$67="salvage"),0,Inputs!$Q$68/Inputs!$Q$13)</f>
        <v>0</v>
      </c>
      <c r="S215" s="296">
        <f>IF(OR(S$2&gt;Inputs!$G$19,Inputs!$Q$67="salvage"),0,Inputs!$Q$68/Inputs!$Q$13)</f>
        <v>0</v>
      </c>
      <c r="T215" s="296">
        <f>IF(OR(T$2&gt;Inputs!$G$19,Inputs!$Q$67="salvage"),0,Inputs!$Q$68/Inputs!$Q$13)</f>
        <v>0</v>
      </c>
      <c r="U215" s="296">
        <f>IF(OR(U$2&gt;Inputs!$G$19,Inputs!$Q$67="salvage"),0,Inputs!$Q$68/Inputs!$Q$13)</f>
        <v>0</v>
      </c>
      <c r="V215" s="296">
        <f>IF(OR(V$2&gt;Inputs!$G$19,Inputs!$Q$67="salvage"),0,Inputs!$Q$68/Inputs!$Q$13)</f>
        <v>0</v>
      </c>
      <c r="W215" s="296">
        <f>IF(OR(W$2&gt;Inputs!$G$19,Inputs!$Q$67="salvage"),0,Inputs!$Q$68/Inputs!$Q$13)</f>
        <v>0</v>
      </c>
      <c r="X215" s="296">
        <f>IF(OR(X$2&gt;Inputs!$G$19,Inputs!$Q$67="salvage"),0,Inputs!$Q$68/Inputs!$Q$13)</f>
        <v>0</v>
      </c>
      <c r="Y215" s="296">
        <f>IF(OR(Y$2&gt;Inputs!$G$19,Inputs!$Q$67="salvage"),0,Inputs!$Q$68/Inputs!$Q$13)</f>
        <v>0</v>
      </c>
      <c r="Z215" s="296">
        <f>IF(OR(Z$2&gt;Inputs!$G$19,Inputs!$Q$67="salvage"),0,Inputs!$Q$68/Inputs!$Q$13)</f>
        <v>0</v>
      </c>
      <c r="AA215" s="296">
        <f>IF(OR(AA$2&gt;Inputs!$G$19,Inputs!$Q$67="salvage"),0,Inputs!$Q$68/Inputs!$Q$13)</f>
        <v>0</v>
      </c>
      <c r="AB215" s="296">
        <f>IF(OR(AB$2&gt;Inputs!$G$19,Inputs!$Q$67="salvage"),0,Inputs!$Q$68/Inputs!$Q$13)</f>
        <v>0</v>
      </c>
      <c r="AC215" s="296">
        <f>IF(OR(AC$2&gt;Inputs!$G$19,Inputs!$Q$67="salvage"),0,Inputs!$Q$68/Inputs!$Q$13)</f>
        <v>0</v>
      </c>
      <c r="AD215" s="296">
        <f>IF(OR(AD$2&gt;Inputs!$G$19,Inputs!$Q$67="salvage"),0,Inputs!$Q$68/Inputs!$Q$13)</f>
        <v>0</v>
      </c>
      <c r="AE215" s="296">
        <f>IF(OR(AE$2&gt;Inputs!$G$19,Inputs!$Q$67="salvage"),0,Inputs!$Q$68/Inputs!$Q$13)</f>
        <v>0</v>
      </c>
      <c r="AF215" s="296">
        <f>IF(OR(AF$2&gt;Inputs!$G$19,Inputs!$Q$67="salvage"),0,Inputs!$Q$68/Inputs!$Q$13)</f>
        <v>0</v>
      </c>
      <c r="AG215" s="296">
        <f>IF(OR(AG$2&gt;Inputs!$G$19,Inputs!$Q$67="salvage"),0,Inputs!$Q$68/Inputs!$Q$13)</f>
        <v>0</v>
      </c>
      <c r="AH215" s="296">
        <f>IF(OR(AH$2&gt;Inputs!$G$19,Inputs!$Q$67="salvage"),0,Inputs!$Q$68/Inputs!$Q$13)</f>
        <v>0</v>
      </c>
      <c r="AI215" s="296">
        <f>IF(OR(AI$2&gt;Inputs!$G$19,Inputs!$Q$67="salvage"),0,Inputs!$Q$68/Inputs!$Q$13)</f>
        <v>0</v>
      </c>
      <c r="AJ215" s="296">
        <f>IF(OR(AJ$2&gt;Inputs!$G$19,Inputs!$Q$67="salvage"),0,Inputs!$Q$68/Inputs!$Q$13)</f>
        <v>0</v>
      </c>
    </row>
    <row r="216" spans="2:36" ht="16">
      <c r="B216" s="259" t="s">
        <v>87</v>
      </c>
      <c r="C216" s="259"/>
      <c r="D216" s="259"/>
      <c r="E216" s="303"/>
      <c r="F216" s="296">
        <f>IF(F$2&gt;Inputs!$G$19,0,SUM(F208:F215))</f>
        <v>1478954.9482940962</v>
      </c>
      <c r="G216" s="296">
        <f>IF(G$2&gt;Inputs!$G$19,0,SUM(G208:G215))</f>
        <v>1478954.9482940962</v>
      </c>
      <c r="H216" s="296">
        <f>IF(H$2&gt;Inputs!$G$19,0,SUM(H208:H215))</f>
        <v>1478954.9482940962</v>
      </c>
      <c r="I216" s="296">
        <f>IF(I$2&gt;Inputs!$G$19,0,SUM(I208:I215))</f>
        <v>1478954.9482940962</v>
      </c>
      <c r="J216" s="296">
        <f>IF(J$2&gt;Inputs!$G$19,0,SUM(J208:J215))</f>
        <v>1478954.9482940962</v>
      </c>
      <c r="K216" s="296">
        <f>IF(K$2&gt;Inputs!$G$19,0,SUM(K208:K215))</f>
        <v>1478954.9482940962</v>
      </c>
      <c r="L216" s="296">
        <f>IF(L$2&gt;Inputs!$G$19,0,SUM(L208:L215))</f>
        <v>1478954.9482940962</v>
      </c>
      <c r="M216" s="296">
        <f>IF(M$2&gt;Inputs!$G$19,0,SUM(M208:M215))</f>
        <v>1478954.9482940962</v>
      </c>
      <c r="N216" s="296">
        <f>IF(N$2&gt;Inputs!$G$19,0,SUM(N208:N215))</f>
        <v>1478954.9482940962</v>
      </c>
      <c r="O216" s="296">
        <f>IF(O$2&gt;Inputs!$G$19,0,SUM(O208:O215))</f>
        <v>1478954.9482940962</v>
      </c>
      <c r="P216" s="296">
        <f>IF(P$2&gt;Inputs!$G$19,0,SUM(P208:P215))</f>
        <v>1478954.9482940962</v>
      </c>
      <c r="Q216" s="296">
        <f>IF(Q$2&gt;Inputs!$G$19,0,SUM(Q208:Q215))</f>
        <v>1478954.9482940962</v>
      </c>
      <c r="R216" s="296">
        <f>IF(R$2&gt;Inputs!$G$19,0,SUM(R208:R215))</f>
        <v>1478954.9482940962</v>
      </c>
      <c r="S216" s="296">
        <f>IF(S$2&gt;Inputs!$G$19,0,SUM(S208:S215))</f>
        <v>1478954.9482940962</v>
      </c>
      <c r="T216" s="296">
        <f>IF(T$2&gt;Inputs!$G$19,0,SUM(T208:T215))</f>
        <v>1064065.6323816241</v>
      </c>
      <c r="U216" s="296">
        <f>IF(U$2&gt;Inputs!$G$19,0,SUM(U208:U215))</f>
        <v>1064065.6323816241</v>
      </c>
      <c r="V216" s="296">
        <f>IF(V$2&gt;Inputs!$G$19,0,SUM(V208:V215))</f>
        <v>1064065.6323816241</v>
      </c>
      <c r="W216" s="296">
        <f>IF(W$2&gt;Inputs!$G$19,0,SUM(W208:W215))</f>
        <v>1064065.6323816241</v>
      </c>
      <c r="X216" s="296">
        <f>IF(X$2&gt;Inputs!$G$19,0,SUM(X208:X215))</f>
        <v>1064065.6323816241</v>
      </c>
      <c r="Y216" s="296">
        <f>IF(Y$2&gt;Inputs!$G$19,0,SUM(Y208:Y215))</f>
        <v>1064065.6323816241</v>
      </c>
      <c r="Z216" s="296">
        <f>IF(Z$2&gt;Inputs!$G$19,0,SUM(Z208:Z215))</f>
        <v>0</v>
      </c>
      <c r="AA216" s="296">
        <f>IF(AA$2&gt;Inputs!$G$19,0,SUM(AA208:AA215))</f>
        <v>0</v>
      </c>
      <c r="AB216" s="296">
        <f>IF(AB$2&gt;Inputs!$G$19,0,SUM(AB208:AB215))</f>
        <v>0</v>
      </c>
      <c r="AC216" s="296">
        <f>IF(AC$2&gt;Inputs!$G$19,0,SUM(AC208:AC215))</f>
        <v>0</v>
      </c>
      <c r="AD216" s="296">
        <f>IF(AD$2&gt;Inputs!$G$19,0,SUM(AD208:AD215))</f>
        <v>0</v>
      </c>
      <c r="AE216" s="296">
        <f>IF(AE$2&gt;Inputs!$G$19,0,SUM(AE208:AE215))</f>
        <v>0</v>
      </c>
      <c r="AF216" s="296">
        <f>IF(AF$2&gt;Inputs!$G$19,0,SUM(AF208:AF215))</f>
        <v>0</v>
      </c>
      <c r="AG216" s="296">
        <f>IF(AG$2&gt;Inputs!$G$19,0,SUM(AG208:AG215))</f>
        <v>0</v>
      </c>
      <c r="AH216" s="296">
        <f>IF(AH$2&gt;Inputs!$G$19,0,SUM(AH208:AH215))</f>
        <v>0</v>
      </c>
      <c r="AI216" s="296">
        <f>IF(AI$2&gt;Inputs!$G$19,0,SUM(AI208:AI215))</f>
        <v>0</v>
      </c>
      <c r="AJ216" s="296">
        <f>IF(AJ$2&gt;Inputs!$G$19,0,SUM(AJ208:AJ215))</f>
        <v>0</v>
      </c>
    </row>
    <row r="217" spans="2:36" ht="16">
      <c r="B217" s="258"/>
      <c r="C217" s="258"/>
      <c r="D217" s="258"/>
      <c r="E217" s="303"/>
      <c r="F217" s="296"/>
      <c r="G217" s="296"/>
      <c r="H217" s="296"/>
      <c r="I217" s="296"/>
      <c r="J217" s="296"/>
      <c r="K217" s="296"/>
      <c r="L217" s="296"/>
      <c r="M217" s="296"/>
      <c r="N217" s="303"/>
      <c r="O217" s="303"/>
      <c r="P217" s="303"/>
      <c r="Q217" s="303"/>
      <c r="R217" s="303"/>
      <c r="S217" s="303"/>
      <c r="T217" s="303"/>
      <c r="U217" s="303"/>
      <c r="V217" s="303"/>
      <c r="W217" s="303"/>
      <c r="X217" s="303"/>
      <c r="Y217" s="303"/>
      <c r="Z217" s="303"/>
      <c r="AA217" s="303"/>
      <c r="AB217" s="303"/>
      <c r="AC217" s="303"/>
      <c r="AD217" s="303"/>
      <c r="AE217" s="303"/>
      <c r="AF217" s="303"/>
      <c r="AG217" s="303"/>
      <c r="AH217" s="303"/>
      <c r="AI217" s="303"/>
      <c r="AJ217" s="303"/>
    </row>
    <row r="218" spans="2:36" ht="16">
      <c r="B218" s="259" t="s">
        <v>180</v>
      </c>
      <c r="C218" s="259"/>
      <c r="D218" s="259"/>
      <c r="E218" s="303"/>
      <c r="F218" s="296"/>
      <c r="G218" s="296">
        <f>AVERAGE(G208,G216)*Inputs!$Q$77</f>
        <v>22184.324224411441</v>
      </c>
      <c r="H218" s="296">
        <f>AVERAGE(H208,H216)*Inputs!$Q$77</f>
        <v>22184.324224411441</v>
      </c>
      <c r="I218" s="296">
        <f>AVERAGE(I208,I216)*Inputs!$Q$77</f>
        <v>22184.324224411441</v>
      </c>
      <c r="J218" s="296">
        <f>AVERAGE(J208,J216)*Inputs!$Q$77</f>
        <v>22184.324224411441</v>
      </c>
      <c r="K218" s="296">
        <f>AVERAGE(K208,K216)*Inputs!$Q$77</f>
        <v>22184.324224411441</v>
      </c>
      <c r="L218" s="296">
        <f>AVERAGE(L208,L216)*Inputs!$Q$77</f>
        <v>22184.324224411441</v>
      </c>
      <c r="M218" s="296">
        <f>AVERAGE(M208,M216)*Inputs!$Q$77</f>
        <v>22184.324224411441</v>
      </c>
      <c r="N218" s="296">
        <f>AVERAGE(N208,N216)*Inputs!$Q$77</f>
        <v>22184.324224411441</v>
      </c>
      <c r="O218" s="296">
        <f>AVERAGE(O208,O216)*Inputs!$Q$77</f>
        <v>22184.324224411441</v>
      </c>
      <c r="P218" s="296">
        <f>AVERAGE(P208,P216)*Inputs!$Q$77</f>
        <v>22184.324224411441</v>
      </c>
      <c r="Q218" s="296">
        <f>AVERAGE(Q208,Q216)*Inputs!$Q$77</f>
        <v>22184.324224411441</v>
      </c>
      <c r="R218" s="296">
        <f>AVERAGE(R208,R216)*Inputs!$Q$77</f>
        <v>22184.324224411441</v>
      </c>
      <c r="S218" s="296">
        <f>AVERAGE(S208,S216)*Inputs!$Q$77</f>
        <v>22184.324224411441</v>
      </c>
      <c r="T218" s="296">
        <f>AVERAGE(T208,T216)*Inputs!$Q$77</f>
        <v>19072.654355067902</v>
      </c>
      <c r="U218" s="296">
        <f>AVERAGE(U208,U216)*Inputs!$Q$77</f>
        <v>15960.984485724361</v>
      </c>
      <c r="V218" s="296">
        <f>AVERAGE(V208,V216)*Inputs!$Q$77</f>
        <v>15960.984485724361</v>
      </c>
      <c r="W218" s="296">
        <f>AVERAGE(W208,W216)*Inputs!$Q$77</f>
        <v>15960.984485724361</v>
      </c>
      <c r="X218" s="296">
        <f>AVERAGE(X208,X216)*Inputs!$Q$77</f>
        <v>15960.984485724361</v>
      </c>
      <c r="Y218" s="296">
        <f>AVERAGE(Y208,Y216)*Inputs!$Q$77</f>
        <v>15960.984485724361</v>
      </c>
      <c r="Z218" s="296">
        <f>AVERAGE(Z208,Z216)*Inputs!$Q$77</f>
        <v>7980.4922428621803</v>
      </c>
      <c r="AA218" s="296">
        <f>AVERAGE(AA208,AA216)*Inputs!$Q$77</f>
        <v>0</v>
      </c>
      <c r="AB218" s="296">
        <f>AVERAGE(AB208,AB216)*Inputs!$Q$77</f>
        <v>0</v>
      </c>
      <c r="AC218" s="296">
        <f>AVERAGE(AC208,AC216)*Inputs!$Q$77</f>
        <v>0</v>
      </c>
      <c r="AD218" s="296">
        <f>AVERAGE(AD208,AD216)*Inputs!$Q$77</f>
        <v>0</v>
      </c>
      <c r="AE218" s="296">
        <f>AVERAGE(AE208,AE216)*Inputs!$Q$77</f>
        <v>0</v>
      </c>
      <c r="AF218" s="296">
        <f>AVERAGE(AF208,AF216)*Inputs!$Q$77</f>
        <v>0</v>
      </c>
      <c r="AG218" s="296">
        <f>AVERAGE(AG208,AG216)*Inputs!$Q$77</f>
        <v>0</v>
      </c>
      <c r="AH218" s="296">
        <f>AVERAGE(AH208,AH216)*Inputs!$Q$77</f>
        <v>0</v>
      </c>
      <c r="AI218" s="296">
        <f>AVERAGE(AI208,AI216)*Inputs!$Q$77</f>
        <v>0</v>
      </c>
      <c r="AJ218" s="296">
        <f>AVERAGE(AJ208,AJ216)*Inputs!$Q$77</f>
        <v>0</v>
      </c>
    </row>
    <row r="219" spans="2:36" ht="16">
      <c r="B219" s="259" t="s">
        <v>181</v>
      </c>
      <c r="C219" s="259"/>
      <c r="D219" s="259"/>
      <c r="E219" s="303"/>
      <c r="F219" s="303"/>
      <c r="G219" s="296">
        <f>SUM(G209:G215)</f>
        <v>0</v>
      </c>
      <c r="H219" s="296">
        <f t="shared" ref="H219:AJ219" si="66">SUM(H209:H215)</f>
        <v>0</v>
      </c>
      <c r="I219" s="296">
        <f t="shared" si="66"/>
        <v>0</v>
      </c>
      <c r="J219" s="296">
        <f t="shared" si="66"/>
        <v>0</v>
      </c>
      <c r="K219" s="296">
        <f t="shared" si="66"/>
        <v>0</v>
      </c>
      <c r="L219" s="296">
        <f t="shared" si="66"/>
        <v>0</v>
      </c>
      <c r="M219" s="296">
        <f t="shared" si="66"/>
        <v>0</v>
      </c>
      <c r="N219" s="296">
        <f t="shared" si="66"/>
        <v>0</v>
      </c>
      <c r="O219" s="296">
        <f t="shared" si="66"/>
        <v>0</v>
      </c>
      <c r="P219" s="296">
        <f t="shared" si="66"/>
        <v>0</v>
      </c>
      <c r="Q219" s="296">
        <f t="shared" si="66"/>
        <v>0</v>
      </c>
      <c r="R219" s="296">
        <f t="shared" si="66"/>
        <v>0</v>
      </c>
      <c r="S219" s="296">
        <f t="shared" si="66"/>
        <v>0</v>
      </c>
      <c r="T219" s="296">
        <f t="shared" si="66"/>
        <v>-414889.31591247208</v>
      </c>
      <c r="U219" s="296">
        <f t="shared" si="66"/>
        <v>0</v>
      </c>
      <c r="V219" s="296">
        <f t="shared" si="66"/>
        <v>0</v>
      </c>
      <c r="W219" s="296">
        <f t="shared" si="66"/>
        <v>0</v>
      </c>
      <c r="X219" s="296">
        <f t="shared" si="66"/>
        <v>0</v>
      </c>
      <c r="Y219" s="296">
        <f t="shared" si="66"/>
        <v>0</v>
      </c>
      <c r="Z219" s="296">
        <f t="shared" si="66"/>
        <v>-1064065.6323816241</v>
      </c>
      <c r="AA219" s="296">
        <f t="shared" si="66"/>
        <v>0</v>
      </c>
      <c r="AB219" s="296">
        <f t="shared" si="66"/>
        <v>0</v>
      </c>
      <c r="AC219" s="296">
        <f t="shared" si="66"/>
        <v>0</v>
      </c>
      <c r="AD219" s="296">
        <f t="shared" si="66"/>
        <v>0</v>
      </c>
      <c r="AE219" s="296">
        <f t="shared" si="66"/>
        <v>0</v>
      </c>
      <c r="AF219" s="296">
        <f t="shared" si="66"/>
        <v>0</v>
      </c>
      <c r="AG219" s="296">
        <f t="shared" si="66"/>
        <v>0</v>
      </c>
      <c r="AH219" s="296">
        <f t="shared" si="66"/>
        <v>0</v>
      </c>
      <c r="AI219" s="296">
        <f t="shared" si="66"/>
        <v>0</v>
      </c>
      <c r="AJ219" s="296">
        <f t="shared" si="66"/>
        <v>0</v>
      </c>
    </row>
    <row r="220" spans="2:36" ht="17" thickBot="1">
      <c r="B220" s="304"/>
      <c r="C220" s="304"/>
      <c r="D220" s="304"/>
      <c r="E220" s="305"/>
      <c r="F220" s="306"/>
      <c r="G220" s="306"/>
      <c r="H220" s="306"/>
      <c r="I220" s="306"/>
      <c r="J220" s="306"/>
      <c r="K220" s="306"/>
      <c r="L220" s="306"/>
      <c r="M220" s="306"/>
      <c r="N220" s="306"/>
      <c r="O220" s="306"/>
      <c r="P220" s="306"/>
      <c r="Q220" s="306"/>
      <c r="R220" s="306"/>
      <c r="S220" s="306"/>
      <c r="T220" s="306"/>
      <c r="U220" s="306"/>
      <c r="V220" s="306"/>
      <c r="W220" s="306"/>
      <c r="X220" s="306"/>
      <c r="Y220" s="306"/>
      <c r="Z220" s="306"/>
      <c r="AA220" s="306"/>
      <c r="AB220" s="306"/>
      <c r="AC220" s="306"/>
      <c r="AD220" s="306"/>
      <c r="AE220" s="306"/>
      <c r="AF220" s="306"/>
      <c r="AG220" s="306"/>
      <c r="AH220" s="306"/>
      <c r="AI220" s="306"/>
      <c r="AJ220" s="306"/>
    </row>
    <row r="221" spans="2:36" ht="16">
      <c r="B221" s="294"/>
      <c r="C221" s="294"/>
      <c r="D221" s="294"/>
      <c r="E221" s="303"/>
      <c r="F221" s="296"/>
      <c r="G221" s="415"/>
      <c r="H221" s="296"/>
      <c r="I221" s="296"/>
      <c r="J221" s="296"/>
      <c r="K221" s="296"/>
      <c r="L221" s="296"/>
      <c r="M221" s="296"/>
      <c r="N221" s="296"/>
      <c r="O221" s="296"/>
      <c r="P221" s="296"/>
      <c r="Q221" s="296"/>
      <c r="R221" s="296"/>
      <c r="S221" s="296"/>
      <c r="T221" s="296"/>
      <c r="U221" s="296"/>
      <c r="V221" s="296"/>
      <c r="W221" s="296"/>
      <c r="X221" s="296"/>
      <c r="Y221" s="296"/>
      <c r="Z221" s="296"/>
      <c r="AA221" s="296"/>
      <c r="AB221" s="296"/>
      <c r="AC221" s="296"/>
      <c r="AD221" s="296"/>
      <c r="AE221" s="296"/>
      <c r="AF221" s="296"/>
      <c r="AG221" s="296"/>
      <c r="AH221" s="296"/>
      <c r="AI221" s="296"/>
      <c r="AJ221" s="296"/>
    </row>
    <row r="222" spans="2:36" ht="17">
      <c r="B222" s="423" t="s">
        <v>264</v>
      </c>
      <c r="C222" s="423"/>
      <c r="D222" s="423"/>
      <c r="E222" s="303"/>
      <c r="F222" s="296"/>
      <c r="G222" s="416" t="s">
        <v>265</v>
      </c>
      <c r="H222" s="296"/>
      <c r="I222" s="296"/>
      <c r="J222" s="303"/>
      <c r="K222" s="416" t="s">
        <v>265</v>
      </c>
      <c r="L222" s="296"/>
      <c r="M222" s="296"/>
      <c r="N222" s="303"/>
      <c r="O222" s="416" t="s">
        <v>265</v>
      </c>
      <c r="P222" s="296"/>
      <c r="Q222" s="296"/>
      <c r="R222" s="416" t="s">
        <v>267</v>
      </c>
      <c r="S222" s="416" t="s">
        <v>268</v>
      </c>
      <c r="T222" s="303"/>
      <c r="U222" s="303"/>
      <c r="V222" s="296"/>
      <c r="W222" s="296"/>
      <c r="X222" s="296"/>
      <c r="Y222" s="296"/>
      <c r="Z222" s="296"/>
      <c r="AA222" s="296"/>
      <c r="AB222" s="296"/>
      <c r="AC222" s="296"/>
      <c r="AD222" s="296"/>
      <c r="AE222" s="296"/>
      <c r="AF222" s="296"/>
      <c r="AG222" s="296"/>
      <c r="AH222" s="296"/>
      <c r="AI222" s="296"/>
      <c r="AJ222" s="296"/>
    </row>
    <row r="223" spans="2:36" ht="16">
      <c r="B223" s="294" t="s">
        <v>269</v>
      </c>
      <c r="C223" s="294"/>
      <c r="D223" s="294"/>
      <c r="E223" s="303"/>
      <c r="F223" s="296"/>
      <c r="G223" s="296">
        <f>$D$82</f>
        <v>36223.421390774507</v>
      </c>
      <c r="H223" s="296"/>
      <c r="I223" s="296"/>
      <c r="J223" s="303"/>
      <c r="K223" s="296">
        <f>$D$82</f>
        <v>36223.421390774507</v>
      </c>
      <c r="L223" s="296"/>
      <c r="M223" s="296"/>
      <c r="N223" s="303"/>
      <c r="O223" s="296">
        <f>$D$82</f>
        <v>36223.421390774507</v>
      </c>
      <c r="P223" s="296"/>
      <c r="Q223" s="296"/>
      <c r="R223" s="417">
        <f>LOOKUP(MIN($P$224:$P$234),$O$224:$O$234,$N$224:$N$234)</f>
        <v>12.799999999999997</v>
      </c>
      <c r="S223" s="417">
        <f>LOOKUP(MAX($Q$224:$Q$234),$O$224:$O$234,$N$224:$N$234)</f>
        <v>12.899999999999997</v>
      </c>
      <c r="T223" s="462"/>
      <c r="U223" s="303"/>
      <c r="V223" s="296"/>
      <c r="W223" s="296"/>
      <c r="X223" s="296"/>
      <c r="Y223" s="296"/>
      <c r="Z223" s="296"/>
      <c r="AA223" s="296"/>
      <c r="AB223" s="296"/>
      <c r="AC223" s="296"/>
      <c r="AD223" s="296"/>
      <c r="AE223" s="296"/>
      <c r="AF223" s="296"/>
      <c r="AG223" s="296"/>
      <c r="AH223" s="296"/>
      <c r="AI223" s="296"/>
      <c r="AJ223" s="296"/>
    </row>
    <row r="224" spans="2:36" ht="16">
      <c r="B224" s="294"/>
      <c r="C224" s="294"/>
      <c r="D224" s="294"/>
      <c r="E224" s="303"/>
      <c r="F224" s="418">
        <v>0</v>
      </c>
      <c r="G224" s="296">
        <f t="dataTable" ref="G224:G234" dt2D="0" dtr="0" r1="G82" ca="1"/>
        <v>-13164258.874556173</v>
      </c>
      <c r="H224" s="296"/>
      <c r="I224" s="296"/>
      <c r="J224" s="419">
        <f>LOOKUP(MIN($H$224:$H$234),$G$224:$G$234,$F$224:$F$234)</f>
        <v>10</v>
      </c>
      <c r="K224" s="296">
        <f t="dataTable" ref="K224:K234" dt2D="0" dtr="0" r1="G82" ca="1"/>
        <v>-2891510.0061149672</v>
      </c>
      <c r="L224" s="296"/>
      <c r="M224" s="296"/>
      <c r="N224" s="419">
        <f>LOOKUP(MIN($L$224:$L$234),$K$224:$K$234,$J$224:$J$234)</f>
        <v>12</v>
      </c>
      <c r="O224" s="296">
        <f t="dataTable" ref="O224:O234" dt2D="0" dtr="0" r1="G82"/>
        <v>-836960.23242672533</v>
      </c>
      <c r="P224" s="296"/>
      <c r="Q224" s="296"/>
      <c r="R224" s="296"/>
      <c r="S224" s="296"/>
      <c r="T224" s="296"/>
      <c r="U224" s="296"/>
      <c r="V224" s="296"/>
      <c r="W224" s="296"/>
      <c r="X224" s="296"/>
      <c r="Y224" s="296"/>
      <c r="Z224" s="296"/>
      <c r="AA224" s="296"/>
      <c r="AB224" s="296"/>
      <c r="AC224" s="296"/>
      <c r="AD224" s="296"/>
      <c r="AE224" s="296"/>
      <c r="AF224" s="296"/>
      <c r="AG224" s="296"/>
      <c r="AH224" s="296"/>
      <c r="AI224" s="296"/>
      <c r="AJ224" s="296"/>
    </row>
    <row r="225" spans="2:36" ht="17">
      <c r="B225" s="303"/>
      <c r="C225" s="303"/>
      <c r="D225" s="303"/>
      <c r="E225" s="303"/>
      <c r="F225" s="418">
        <v>10</v>
      </c>
      <c r="G225" s="296">
        <v>-2891510.0061149672</v>
      </c>
      <c r="H225" s="296">
        <f t="shared" ref="H225:H234" si="67">IF(AND($G225&lt;0,$G226&gt;0),$G225,"")</f>
        <v>-2891510.0061149672</v>
      </c>
      <c r="I225" s="296" t="str">
        <f t="shared" ref="I225:I234" si="68">IF(AND($G225&gt;0,$G224&lt;0),$G225,"")</f>
        <v/>
      </c>
      <c r="J225" s="419">
        <f>J224+1</f>
        <v>11</v>
      </c>
      <c r="K225" s="296">
        <v>-1864235.1192708449</v>
      </c>
      <c r="L225" s="296" t="str">
        <f t="shared" ref="L225:L234" si="69">IF(AND($K225&lt;0,$K226&gt;0),$K225,"")</f>
        <v/>
      </c>
      <c r="M225" s="296" t="str">
        <f t="shared" ref="M225:M234" si="70">IF(AND($K225&gt;0,$K224&lt;0),$K225,"")</f>
        <v/>
      </c>
      <c r="N225" s="419">
        <f>N224+0.1</f>
        <v>12.1</v>
      </c>
      <c r="O225" s="296">
        <v>-734232.74374231254</v>
      </c>
      <c r="P225" s="296" t="str">
        <f>IF(AND($O225&lt;0,$O226&gt;0),$O225,"")</f>
        <v/>
      </c>
      <c r="Q225" s="296" t="str">
        <f>IF(AND($O225&gt;0,$O224&lt;0),$O225,"")</f>
        <v/>
      </c>
      <c r="R225" s="296"/>
      <c r="S225" s="296"/>
      <c r="T225" s="296"/>
      <c r="U225" s="296"/>
      <c r="V225" s="296"/>
      <c r="W225" s="296"/>
      <c r="X225" s="296"/>
      <c r="Y225" s="296"/>
      <c r="Z225" s="296"/>
      <c r="AA225" s="296"/>
      <c r="AB225" s="296"/>
      <c r="AC225" s="296"/>
      <c r="AD225" s="296"/>
      <c r="AE225" s="296"/>
      <c r="AF225" s="296"/>
      <c r="AG225" s="296"/>
      <c r="AH225" s="296"/>
      <c r="AI225" s="296"/>
      <c r="AJ225" s="296"/>
    </row>
    <row r="226" spans="2:36" ht="17">
      <c r="B226" s="303"/>
      <c r="C226" s="303"/>
      <c r="D226" s="303"/>
      <c r="E226" s="303"/>
      <c r="F226" s="418">
        <v>20</v>
      </c>
      <c r="G226" s="296">
        <v>7381238.8623262411</v>
      </c>
      <c r="H226" s="296" t="str">
        <f t="shared" si="67"/>
        <v/>
      </c>
      <c r="I226" s="296">
        <f t="shared" si="68"/>
        <v>7381238.8623262411</v>
      </c>
      <c r="J226" s="419">
        <f t="shared" ref="J226:J233" si="71">J225+1</f>
        <v>12</v>
      </c>
      <c r="K226" s="296">
        <v>-836960.23242672533</v>
      </c>
      <c r="L226" s="296">
        <f t="shared" si="69"/>
        <v>-836960.23242672533</v>
      </c>
      <c r="M226" s="296" t="str">
        <f t="shared" si="70"/>
        <v/>
      </c>
      <c r="N226" s="419">
        <f t="shared" ref="N226:N233" si="72">N225+0.1</f>
        <v>12.2</v>
      </c>
      <c r="O226" s="296">
        <v>-631505.25505790242</v>
      </c>
      <c r="P226" s="296" t="str">
        <f t="shared" ref="P226:P234" si="73">IF(AND($O226&lt;0,$O227&gt;0),$O226,"")</f>
        <v/>
      </c>
      <c r="Q226" s="296" t="str">
        <f t="shared" ref="Q226:Q234" si="74">IF(AND($O226&gt;0,$O225&lt;0),$O226,"")</f>
        <v/>
      </c>
      <c r="R226" s="296"/>
      <c r="S226" s="296"/>
      <c r="T226" s="296"/>
      <c r="U226" s="296"/>
      <c r="V226" s="296"/>
      <c r="W226" s="296"/>
      <c r="X226" s="296"/>
      <c r="Y226" s="296"/>
      <c r="Z226" s="296"/>
      <c r="AA226" s="296"/>
      <c r="AB226" s="296"/>
      <c r="AC226" s="296"/>
      <c r="AD226" s="296"/>
      <c r="AE226" s="296"/>
      <c r="AF226" s="296"/>
      <c r="AG226" s="296"/>
      <c r="AH226" s="296"/>
      <c r="AI226" s="296"/>
      <c r="AJ226" s="296"/>
    </row>
    <row r="227" spans="2:36" ht="17">
      <c r="B227" s="303"/>
      <c r="C227" s="303"/>
      <c r="D227" s="303"/>
      <c r="E227" s="303"/>
      <c r="F227" s="418">
        <v>30</v>
      </c>
      <c r="G227" s="296">
        <v>17653987.730767448</v>
      </c>
      <c r="H227" s="296" t="str">
        <f t="shared" si="67"/>
        <v/>
      </c>
      <c r="I227" s="296" t="str">
        <f t="shared" si="68"/>
        <v/>
      </c>
      <c r="J227" s="419">
        <f t="shared" si="71"/>
        <v>13</v>
      </c>
      <c r="K227" s="296">
        <v>190314.65441739507</v>
      </c>
      <c r="L227" s="296" t="str">
        <f t="shared" si="69"/>
        <v/>
      </c>
      <c r="M227" s="296">
        <f t="shared" si="70"/>
        <v>190314.65441739507</v>
      </c>
      <c r="N227" s="419">
        <f t="shared" si="72"/>
        <v>12.299999999999999</v>
      </c>
      <c r="O227" s="296">
        <v>-528777.76637348998</v>
      </c>
      <c r="P227" s="296" t="str">
        <f t="shared" si="73"/>
        <v/>
      </c>
      <c r="Q227" s="296" t="str">
        <f t="shared" si="74"/>
        <v/>
      </c>
      <c r="R227" s="296"/>
      <c r="S227" s="296"/>
      <c r="T227" s="296"/>
      <c r="U227" s="296"/>
      <c r="V227" s="296"/>
      <c r="W227" s="296"/>
      <c r="X227" s="296"/>
      <c r="Y227" s="296"/>
      <c r="Z227" s="296"/>
      <c r="AA227" s="296"/>
      <c r="AB227" s="296"/>
      <c r="AC227" s="296"/>
      <c r="AD227" s="296"/>
      <c r="AE227" s="296"/>
      <c r="AF227" s="296"/>
      <c r="AG227" s="296"/>
      <c r="AH227" s="296"/>
      <c r="AI227" s="296"/>
      <c r="AJ227" s="296"/>
    </row>
    <row r="228" spans="2:36" ht="17">
      <c r="B228" s="303"/>
      <c r="C228" s="303"/>
      <c r="D228" s="303"/>
      <c r="E228" s="303"/>
      <c r="F228" s="418">
        <v>40</v>
      </c>
      <c r="G228" s="296">
        <v>27926736.599208653</v>
      </c>
      <c r="H228" s="296" t="str">
        <f t="shared" si="67"/>
        <v/>
      </c>
      <c r="I228" s="296" t="str">
        <f t="shared" si="68"/>
        <v/>
      </c>
      <c r="J228" s="419">
        <f t="shared" si="71"/>
        <v>14</v>
      </c>
      <c r="K228" s="296">
        <v>1217589.541261516</v>
      </c>
      <c r="L228" s="296" t="str">
        <f t="shared" si="69"/>
        <v/>
      </c>
      <c r="M228" s="296" t="str">
        <f t="shared" si="70"/>
        <v/>
      </c>
      <c r="N228" s="419">
        <f t="shared" si="72"/>
        <v>12.399999999999999</v>
      </c>
      <c r="O228" s="296">
        <v>-426050.27768907853</v>
      </c>
      <c r="P228" s="296" t="str">
        <f t="shared" si="73"/>
        <v/>
      </c>
      <c r="Q228" s="296" t="str">
        <f t="shared" si="74"/>
        <v/>
      </c>
      <c r="R228" s="296"/>
      <c r="S228" s="296"/>
      <c r="T228" s="296"/>
      <c r="U228" s="296"/>
      <c r="V228" s="296"/>
      <c r="W228" s="296"/>
      <c r="X228" s="296"/>
      <c r="Y228" s="296"/>
      <c r="Z228" s="296"/>
      <c r="AA228" s="296"/>
      <c r="AB228" s="296"/>
      <c r="AC228" s="296"/>
      <c r="AD228" s="296"/>
      <c r="AE228" s="296"/>
      <c r="AF228" s="296"/>
      <c r="AG228" s="296"/>
      <c r="AH228" s="296"/>
      <c r="AI228" s="296"/>
      <c r="AJ228" s="296"/>
    </row>
    <row r="229" spans="2:36" ht="17">
      <c r="B229" s="303"/>
      <c r="C229" s="303"/>
      <c r="D229" s="303"/>
      <c r="E229" s="303"/>
      <c r="F229" s="418">
        <v>50</v>
      </c>
      <c r="G229" s="296">
        <v>38199485.467649855</v>
      </c>
      <c r="H229" s="296" t="str">
        <f t="shared" si="67"/>
        <v/>
      </c>
      <c r="I229" s="296" t="str">
        <f t="shared" si="68"/>
        <v/>
      </c>
      <c r="J229" s="419">
        <f t="shared" si="71"/>
        <v>15</v>
      </c>
      <c r="K229" s="296">
        <v>2244864.428105636</v>
      </c>
      <c r="L229" s="296" t="str">
        <f t="shared" si="69"/>
        <v/>
      </c>
      <c r="M229" s="296" t="str">
        <f t="shared" si="70"/>
        <v/>
      </c>
      <c r="N229" s="419">
        <f t="shared" si="72"/>
        <v>12.499999999999998</v>
      </c>
      <c r="O229" s="296">
        <v>-323322.78900466848</v>
      </c>
      <c r="P229" s="296" t="str">
        <f t="shared" si="73"/>
        <v/>
      </c>
      <c r="Q229" s="296" t="str">
        <f t="shared" si="74"/>
        <v/>
      </c>
      <c r="R229" s="296"/>
      <c r="S229" s="296"/>
      <c r="T229" s="296"/>
      <c r="U229" s="296"/>
      <c r="V229" s="296"/>
      <c r="W229" s="296"/>
      <c r="X229" s="296"/>
      <c r="Y229" s="296"/>
      <c r="Z229" s="296"/>
      <c r="AA229" s="296"/>
      <c r="AB229" s="296"/>
      <c r="AC229" s="296"/>
      <c r="AD229" s="296"/>
      <c r="AE229" s="296"/>
      <c r="AF229" s="296"/>
      <c r="AG229" s="296"/>
      <c r="AH229" s="296"/>
      <c r="AI229" s="296"/>
      <c r="AJ229" s="296"/>
    </row>
    <row r="230" spans="2:36" ht="17">
      <c r="B230" s="303"/>
      <c r="C230" s="303"/>
      <c r="D230" s="303"/>
      <c r="E230" s="303"/>
      <c r="F230" s="418">
        <v>60</v>
      </c>
      <c r="G230" s="296">
        <v>48472234.336091071</v>
      </c>
      <c r="H230" s="296" t="str">
        <f t="shared" si="67"/>
        <v/>
      </c>
      <c r="I230" s="296" t="str">
        <f t="shared" si="68"/>
        <v/>
      </c>
      <c r="J230" s="419">
        <f t="shared" si="71"/>
        <v>16</v>
      </c>
      <c r="K230" s="296">
        <v>3272139.3149497565</v>
      </c>
      <c r="L230" s="296" t="str">
        <f t="shared" si="69"/>
        <v/>
      </c>
      <c r="M230" s="296" t="str">
        <f t="shared" si="70"/>
        <v/>
      </c>
      <c r="N230" s="419">
        <f t="shared" si="72"/>
        <v>12.599999999999998</v>
      </c>
      <c r="O230" s="296">
        <v>-220595.30032025537</v>
      </c>
      <c r="P230" s="296" t="str">
        <f t="shared" si="73"/>
        <v/>
      </c>
      <c r="Q230" s="296" t="str">
        <f t="shared" si="74"/>
        <v/>
      </c>
      <c r="R230" s="296"/>
      <c r="S230" s="296"/>
      <c r="T230" s="296"/>
      <c r="U230" s="296"/>
      <c r="V230" s="296"/>
      <c r="W230" s="296"/>
      <c r="X230" s="296"/>
      <c r="Y230" s="296"/>
      <c r="Z230" s="296"/>
      <c r="AA230" s="296"/>
      <c r="AB230" s="296"/>
      <c r="AC230" s="296"/>
      <c r="AD230" s="296"/>
      <c r="AE230" s="296"/>
      <c r="AF230" s="296"/>
      <c r="AG230" s="296"/>
      <c r="AH230" s="296"/>
      <c r="AI230" s="296"/>
      <c r="AJ230" s="296"/>
    </row>
    <row r="231" spans="2:36" ht="17">
      <c r="B231" s="303"/>
      <c r="C231" s="303"/>
      <c r="D231" s="303"/>
      <c r="E231" s="303"/>
      <c r="F231" s="418">
        <v>70</v>
      </c>
      <c r="G231" s="296">
        <v>58744983.204532273</v>
      </c>
      <c r="H231" s="296" t="str">
        <f t="shared" si="67"/>
        <v/>
      </c>
      <c r="I231" s="296" t="str">
        <f t="shared" si="68"/>
        <v/>
      </c>
      <c r="J231" s="419">
        <f t="shared" si="71"/>
        <v>17</v>
      </c>
      <c r="K231" s="296">
        <v>4299414.2017938774</v>
      </c>
      <c r="L231" s="296" t="str">
        <f t="shared" si="69"/>
        <v/>
      </c>
      <c r="M231" s="296" t="str">
        <f t="shared" si="70"/>
        <v/>
      </c>
      <c r="N231" s="419">
        <f t="shared" si="72"/>
        <v>12.699999999999998</v>
      </c>
      <c r="O231" s="296">
        <v>-117867.81163584377</v>
      </c>
      <c r="P231" s="296" t="str">
        <f t="shared" si="73"/>
        <v/>
      </c>
      <c r="Q231" s="296" t="str">
        <f t="shared" si="74"/>
        <v/>
      </c>
      <c r="R231" s="296"/>
      <c r="S231" s="296"/>
      <c r="T231" s="296"/>
      <c r="U231" s="296"/>
      <c r="V231" s="296"/>
      <c r="W231" s="296"/>
      <c r="X231" s="296"/>
      <c r="Y231" s="296"/>
      <c r="Z231" s="296"/>
      <c r="AA231" s="296"/>
      <c r="AB231" s="296"/>
      <c r="AC231" s="296"/>
      <c r="AD231" s="296"/>
      <c r="AE231" s="296"/>
      <c r="AF231" s="296"/>
      <c r="AG231" s="296"/>
      <c r="AH231" s="296"/>
      <c r="AI231" s="296"/>
      <c r="AJ231" s="296"/>
    </row>
    <row r="232" spans="2:36" ht="17">
      <c r="B232" s="303"/>
      <c r="C232" s="303"/>
      <c r="D232" s="303"/>
      <c r="E232" s="303"/>
      <c r="F232" s="418">
        <v>80</v>
      </c>
      <c r="G232" s="296">
        <v>69017732.072973505</v>
      </c>
      <c r="H232" s="296" t="str">
        <f t="shared" si="67"/>
        <v/>
      </c>
      <c r="I232" s="296" t="str">
        <f t="shared" si="68"/>
        <v/>
      </c>
      <c r="J232" s="419">
        <f t="shared" si="71"/>
        <v>18</v>
      </c>
      <c r="K232" s="296">
        <v>5326689.0886379974</v>
      </c>
      <c r="L232" s="296" t="str">
        <f t="shared" si="69"/>
        <v/>
      </c>
      <c r="M232" s="296" t="str">
        <f t="shared" si="70"/>
        <v/>
      </c>
      <c r="N232" s="419">
        <f t="shared" si="72"/>
        <v>12.799999999999997</v>
      </c>
      <c r="O232" s="296">
        <v>-15140.322951431308</v>
      </c>
      <c r="P232" s="296">
        <f t="shared" si="73"/>
        <v>-15140.322951431308</v>
      </c>
      <c r="Q232" s="296" t="str">
        <f t="shared" si="74"/>
        <v/>
      </c>
      <c r="R232" s="296"/>
      <c r="S232" s="296"/>
      <c r="T232" s="296"/>
      <c r="U232" s="296"/>
      <c r="V232" s="296"/>
      <c r="W232" s="296"/>
      <c r="X232" s="296"/>
      <c r="Y232" s="296"/>
      <c r="Z232" s="296"/>
      <c r="AA232" s="296"/>
      <c r="AB232" s="296"/>
      <c r="AC232" s="296"/>
      <c r="AD232" s="296"/>
      <c r="AE232" s="296"/>
      <c r="AF232" s="296"/>
      <c r="AG232" s="296"/>
      <c r="AH232" s="296"/>
      <c r="AI232" s="296"/>
      <c r="AJ232" s="296"/>
    </row>
    <row r="233" spans="2:36" ht="17">
      <c r="B233" s="303"/>
      <c r="C233" s="303"/>
      <c r="D233" s="303"/>
      <c r="E233" s="303"/>
      <c r="F233" s="418">
        <v>90</v>
      </c>
      <c r="G233" s="296">
        <v>79290480.941414699</v>
      </c>
      <c r="H233" s="296" t="str">
        <f t="shared" si="67"/>
        <v/>
      </c>
      <c r="I233" s="296" t="str">
        <f t="shared" si="68"/>
        <v/>
      </c>
      <c r="J233" s="419">
        <f t="shared" si="71"/>
        <v>19</v>
      </c>
      <c r="K233" s="296">
        <v>6353963.9754821183</v>
      </c>
      <c r="L233" s="296" t="str">
        <f t="shared" si="69"/>
        <v/>
      </c>
      <c r="M233" s="296" t="str">
        <f t="shared" si="70"/>
        <v/>
      </c>
      <c r="N233" s="419">
        <f t="shared" si="72"/>
        <v>12.899999999999997</v>
      </c>
      <c r="O233" s="296">
        <v>87587.165732979207</v>
      </c>
      <c r="P233" s="296" t="str">
        <f t="shared" si="73"/>
        <v/>
      </c>
      <c r="Q233" s="296">
        <f t="shared" si="74"/>
        <v>87587.165732979207</v>
      </c>
      <c r="R233" s="296"/>
      <c r="S233" s="296"/>
      <c r="T233" s="296"/>
      <c r="U233" s="296"/>
      <c r="V233" s="296"/>
      <c r="W233" s="296"/>
      <c r="X233" s="296"/>
      <c r="Y233" s="296"/>
      <c r="Z233" s="296"/>
      <c r="AA233" s="296"/>
      <c r="AB233" s="296"/>
      <c r="AC233" s="296"/>
      <c r="AD233" s="296"/>
      <c r="AE233" s="296"/>
      <c r="AF233" s="296"/>
      <c r="AG233" s="296"/>
      <c r="AH233" s="296"/>
      <c r="AI233" s="296"/>
      <c r="AJ233" s="296"/>
    </row>
    <row r="234" spans="2:36" ht="17">
      <c r="B234" s="303"/>
      <c r="C234" s="303"/>
      <c r="D234" s="303"/>
      <c r="E234" s="303"/>
      <c r="F234" s="418">
        <v>100</v>
      </c>
      <c r="G234" s="296">
        <v>89563229.809855893</v>
      </c>
      <c r="H234" s="296" t="str">
        <f t="shared" si="67"/>
        <v/>
      </c>
      <c r="I234" s="296" t="str">
        <f t="shared" si="68"/>
        <v/>
      </c>
      <c r="J234" s="419">
        <f>LOOKUP(MAX($I$224:$I$234),$G$224:$G$234,$F$224:$F$234)</f>
        <v>20</v>
      </c>
      <c r="K234" s="296">
        <v>7381238.8623262411</v>
      </c>
      <c r="L234" s="296" t="str">
        <f t="shared" si="69"/>
        <v/>
      </c>
      <c r="M234" s="296" t="str">
        <f t="shared" si="70"/>
        <v/>
      </c>
      <c r="N234" s="419">
        <f>LOOKUP(MAX($M$224:$M$234),$K$224:$K$234,$J$224:$J$234)</f>
        <v>13</v>
      </c>
      <c r="O234" s="296">
        <v>190314.65441739507</v>
      </c>
      <c r="P234" s="296" t="str">
        <f t="shared" si="73"/>
        <v/>
      </c>
      <c r="Q234" s="296" t="str">
        <f t="shared" si="74"/>
        <v/>
      </c>
      <c r="R234" s="296"/>
      <c r="S234" s="296"/>
      <c r="T234" s="296"/>
      <c r="U234" s="296"/>
      <c r="V234" s="296"/>
      <c r="W234" s="296"/>
      <c r="X234" s="296"/>
      <c r="Y234" s="296"/>
      <c r="Z234" s="296"/>
      <c r="AA234" s="296"/>
      <c r="AB234" s="296"/>
      <c r="AC234" s="296"/>
      <c r="AD234" s="296"/>
      <c r="AE234" s="296"/>
      <c r="AF234" s="296"/>
      <c r="AG234" s="296"/>
      <c r="AH234" s="296"/>
      <c r="AI234" s="296"/>
      <c r="AJ234" s="296"/>
    </row>
    <row r="235" spans="2:36" ht="16" thickBot="1">
      <c r="B235" s="305"/>
      <c r="C235" s="305"/>
      <c r="D235" s="305"/>
      <c r="E235" s="305"/>
      <c r="F235" s="422"/>
      <c r="G235" s="305"/>
      <c r="H235" s="305"/>
      <c r="I235" s="305"/>
      <c r="J235" s="305"/>
      <c r="K235" s="305"/>
      <c r="L235" s="305"/>
      <c r="M235" s="305"/>
      <c r="N235" s="305"/>
      <c r="O235" s="305"/>
      <c r="P235" s="305"/>
      <c r="Q235" s="305"/>
      <c r="R235" s="305"/>
      <c r="S235" s="305"/>
      <c r="T235" s="305"/>
      <c r="U235" s="305"/>
      <c r="V235" s="305"/>
      <c r="W235" s="305"/>
      <c r="X235" s="305"/>
      <c r="Y235" s="305"/>
      <c r="Z235" s="305"/>
      <c r="AA235" s="305"/>
      <c r="AB235" s="305"/>
      <c r="AC235" s="305"/>
      <c r="AD235" s="305"/>
      <c r="AE235" s="305"/>
      <c r="AF235" s="305"/>
      <c r="AG235" s="305"/>
      <c r="AH235" s="305"/>
      <c r="AI235" s="305"/>
      <c r="AJ235" s="305"/>
    </row>
    <row r="236" spans="2:36" s="420" customFormat="1">
      <c r="F236" s="421"/>
    </row>
    <row r="237" spans="2:36">
      <c r="F237" s="414"/>
    </row>
    <row r="238" spans="2:36">
      <c r="F238" s="414"/>
    </row>
    <row r="239" spans="2:36">
      <c r="F239" s="414"/>
    </row>
    <row r="240" spans="2:36">
      <c r="F240" s="414"/>
    </row>
    <row r="241" spans="6:6">
      <c r="F241" s="414"/>
    </row>
    <row r="242" spans="6:6">
      <c r="F242" s="414"/>
    </row>
    <row r="243" spans="6:6">
      <c r="F243" s="414"/>
    </row>
    <row r="244" spans="6:6">
      <c r="F244" s="414"/>
    </row>
    <row r="245" spans="6:6">
      <c r="F245" s="414"/>
    </row>
    <row r="246" spans="6:6">
      <c r="F246" s="414"/>
    </row>
    <row r="247" spans="6:6">
      <c r="F247" s="414"/>
    </row>
  </sheetData>
  <mergeCells count="3">
    <mergeCell ref="C106:E106"/>
    <mergeCell ref="B80:C80"/>
    <mergeCell ref="B82:C82"/>
  </mergeCells>
  <conditionalFormatting sqref="B30">
    <cfRule type="expression" dxfId="3" priority="5">
      <formula>$G$37="Simple"</formula>
    </cfRule>
  </conditionalFormatting>
  <dataValidations disablePrompts="1" count="1">
    <dataValidation type="list" allowBlank="1" showInputMessage="1" showErrorMessage="1" sqref="E65642 HW65642 RS65642 ABO65642 ALK65642 AVG65642 BFC65642 BOY65642 BYU65642 CIQ65642 CSM65642 DCI65642 DME65642 DWA65642 EFW65642 EPS65642 EZO65642 FJK65642 FTG65642 GDC65642 GMY65642 GWU65642 HGQ65642 HQM65642 IAI65642 IKE65642 IUA65642 JDW65642 JNS65642 JXO65642 KHK65642 KRG65642 LBC65642 LKY65642 LUU65642 MEQ65642 MOM65642 MYI65642 NIE65642 NSA65642 OBW65642 OLS65642 OVO65642 PFK65642 PPG65642 PZC65642 QIY65642 QSU65642 RCQ65642 RMM65642 RWI65642 SGE65642 SQA65642 SZW65642 TJS65642 TTO65642 UDK65642 UNG65642 UXC65642 VGY65642 VQU65642 WAQ65642 WKM65642 WUI65642 HW131178 RS131178 ABO131178 ALK131178 AVG131178 BFC131178 BOY131178 BYU131178 CIQ131178 CSM131178 DCI131178 DME131178 DWA131178 EFW131178 EPS131178 EZO131178 FJK131178 FTG131178 GDC131178 GMY131178 GWU131178 HGQ131178 HQM131178 IAI131178 IKE131178 IUA131178 JDW131178 JNS131178 JXO131178 KHK131178 KRG131178 LBC131178 LKY131178 LUU131178 MEQ131178 MOM131178 MYI131178 NIE131178 NSA131178 OBW131178 OLS131178 OVO131178 PFK131178 PPG131178 PZC131178 QIY131178 QSU131178 RCQ131178 RMM131178 RWI131178 SGE131178 SQA131178 SZW131178 TJS131178 TTO131178 UDK131178 UNG131178 UXC131178 VGY131178 VQU131178 WAQ131178 WKM131178 WUI131178 HW196714 RS196714 ABO196714 ALK196714 AVG196714 BFC196714 BOY196714 BYU196714 CIQ196714 CSM196714 DCI196714 DME196714 DWA196714 EFW196714 EPS196714 EZO196714 FJK196714 FTG196714 GDC196714 GMY196714 GWU196714 HGQ196714 HQM196714 IAI196714 IKE196714 IUA196714 JDW196714 JNS196714 JXO196714 KHK196714 KRG196714 LBC196714 LKY196714 LUU196714 MEQ196714 MOM196714 MYI196714 NIE196714 NSA196714 OBW196714 OLS196714 OVO196714 PFK196714 PPG196714 PZC196714 QIY196714 QSU196714 RCQ196714 RMM196714 RWI196714 SGE196714 SQA196714 SZW196714 TJS196714 TTO196714 UDK196714 UNG196714 UXC196714 VGY196714 VQU196714 WAQ196714 WKM196714 WUI196714 HW262250 RS262250 ABO262250 ALK262250 AVG262250 BFC262250 BOY262250 BYU262250 CIQ262250 CSM262250 DCI262250 DME262250 DWA262250 EFW262250 EPS262250 EZO262250 FJK262250 FTG262250 GDC262250 GMY262250 GWU262250 HGQ262250 HQM262250 IAI262250 IKE262250 IUA262250 JDW262250 JNS262250 JXO262250 KHK262250 KRG262250 LBC262250 LKY262250 LUU262250 MEQ262250 MOM262250 MYI262250 NIE262250 NSA262250 OBW262250 OLS262250 OVO262250 PFK262250 PPG262250 PZC262250 QIY262250 QSU262250 RCQ262250 RMM262250 RWI262250 SGE262250 SQA262250 SZW262250 TJS262250 TTO262250 UDK262250 UNG262250 UXC262250 VGY262250 VQU262250 WAQ262250 WKM262250 WUI262250 HW327786 RS327786 ABO327786 ALK327786 AVG327786 BFC327786 BOY327786 BYU327786 CIQ327786 CSM327786 DCI327786 DME327786 DWA327786 EFW327786 EPS327786 EZO327786 FJK327786 FTG327786 GDC327786 GMY327786 GWU327786 HGQ327786 HQM327786 IAI327786 IKE327786 IUA327786 JDW327786 JNS327786 JXO327786 KHK327786 KRG327786 LBC327786 LKY327786 LUU327786 MEQ327786 MOM327786 MYI327786 NIE327786 NSA327786 OBW327786 OLS327786 OVO327786 PFK327786 PPG327786 PZC327786 QIY327786 QSU327786 RCQ327786 RMM327786 RWI327786 SGE327786 SQA327786 SZW327786 TJS327786 TTO327786 UDK327786 UNG327786 UXC327786 VGY327786 VQU327786 WAQ327786 WKM327786 WUI327786 HW393322 RS393322 ABO393322 ALK393322 AVG393322 BFC393322 BOY393322 BYU393322 CIQ393322 CSM393322 DCI393322 DME393322 DWA393322 EFW393322 EPS393322 EZO393322 FJK393322 FTG393322 GDC393322 GMY393322 GWU393322 HGQ393322 HQM393322 IAI393322 IKE393322 IUA393322 JDW393322 JNS393322 JXO393322 KHK393322 KRG393322 LBC393322 LKY393322 LUU393322 MEQ393322 MOM393322 MYI393322 NIE393322 NSA393322 OBW393322 OLS393322 OVO393322 PFK393322 PPG393322 PZC393322 QIY393322 QSU393322 RCQ393322 RMM393322 RWI393322 SGE393322 SQA393322 SZW393322 TJS393322 TTO393322 UDK393322 UNG393322 UXC393322 VGY393322 VQU393322 WAQ393322 WKM393322 WUI393322 HW458858 RS458858 ABO458858 ALK458858 AVG458858 BFC458858 BOY458858 BYU458858 CIQ458858 CSM458858 DCI458858 DME458858 DWA458858 EFW458858 EPS458858 EZO458858 FJK458858 FTG458858 GDC458858 GMY458858 GWU458858 HGQ458858 HQM458858 IAI458858 IKE458858 IUA458858 JDW458858 JNS458858 JXO458858 KHK458858 KRG458858 LBC458858 LKY458858 LUU458858 MEQ458858 MOM458858 MYI458858 NIE458858 NSA458858 OBW458858 OLS458858 OVO458858 PFK458858 PPG458858 PZC458858 QIY458858 QSU458858 RCQ458858 RMM458858 RWI458858 SGE458858 SQA458858 SZW458858 TJS458858 TTO458858 UDK458858 UNG458858 UXC458858 VGY458858 VQU458858 WAQ458858 WKM458858 WUI458858 HW524394 RS524394 ABO524394 ALK524394 AVG524394 BFC524394 BOY524394 BYU524394 CIQ524394 CSM524394 DCI524394 DME524394 DWA524394 EFW524394 EPS524394 EZO524394 FJK524394 FTG524394 GDC524394 GMY524394 GWU524394 HGQ524394 HQM524394 IAI524394 IKE524394 IUA524394 JDW524394 JNS524394 JXO524394 KHK524394 KRG524394 LBC524394 LKY524394 LUU524394 MEQ524394 MOM524394 MYI524394 NIE524394 NSA524394 OBW524394 OLS524394 OVO524394 PFK524394 PPG524394 PZC524394 QIY524394 QSU524394 RCQ524394 RMM524394 RWI524394 SGE524394 SQA524394 SZW524394 TJS524394 TTO524394 UDK524394 UNG524394 UXC524394 VGY524394 VQU524394 WAQ524394 WKM524394 WUI524394 HW589930 RS589930 ABO589930 ALK589930 AVG589930 BFC589930 BOY589930 BYU589930 CIQ589930 CSM589930 DCI589930 DME589930 DWA589930 EFW589930 EPS589930 EZO589930 FJK589930 FTG589930 GDC589930 GMY589930 GWU589930 HGQ589930 HQM589930 IAI589930 IKE589930 IUA589930 JDW589930 JNS589930 JXO589930 KHK589930 KRG589930 LBC589930 LKY589930 LUU589930 MEQ589930 MOM589930 MYI589930 NIE589930 NSA589930 OBW589930 OLS589930 OVO589930 PFK589930 PPG589930 PZC589930 QIY589930 QSU589930 RCQ589930 RMM589930 RWI589930 SGE589930 SQA589930 SZW589930 TJS589930 TTO589930 UDK589930 UNG589930 UXC589930 VGY589930 VQU589930 WAQ589930 WKM589930 WUI589930 HW655466 RS655466 ABO655466 ALK655466 AVG655466 BFC655466 BOY655466 BYU655466 CIQ655466 CSM655466 DCI655466 DME655466 DWA655466 EFW655466 EPS655466 EZO655466 FJK655466 FTG655466 GDC655466 GMY655466 GWU655466 HGQ655466 HQM655466 IAI655466 IKE655466 IUA655466 JDW655466 JNS655466 JXO655466 KHK655466 KRG655466 LBC655466 LKY655466 LUU655466 MEQ655466 MOM655466 MYI655466 NIE655466 NSA655466 OBW655466 OLS655466 OVO655466 PFK655466 PPG655466 PZC655466 QIY655466 QSU655466 RCQ655466 RMM655466 RWI655466 SGE655466 SQA655466 SZW655466 TJS655466 TTO655466 UDK655466 UNG655466 UXC655466 VGY655466 VQU655466 WAQ655466 WKM655466 WUI655466 HW721002 RS721002 ABO721002 ALK721002 AVG721002 BFC721002 BOY721002 BYU721002 CIQ721002 CSM721002 DCI721002 DME721002 DWA721002 EFW721002 EPS721002 EZO721002 FJK721002 FTG721002 GDC721002 GMY721002 GWU721002 HGQ721002 HQM721002 IAI721002 IKE721002 IUA721002 JDW721002 JNS721002 JXO721002 KHK721002 KRG721002 LBC721002 LKY721002 LUU721002 MEQ721002 MOM721002 MYI721002 NIE721002 NSA721002 OBW721002 OLS721002 OVO721002 PFK721002 PPG721002 PZC721002 QIY721002 QSU721002 RCQ721002 RMM721002 RWI721002 SGE721002 SQA721002 SZW721002 TJS721002 TTO721002 UDK721002 UNG721002 UXC721002 VGY721002 VQU721002 WAQ721002 WKM721002 WUI721002 HW786538 RS786538 ABO786538 ALK786538 AVG786538 BFC786538 BOY786538 BYU786538 CIQ786538 CSM786538 DCI786538 DME786538 DWA786538 EFW786538 EPS786538 EZO786538 FJK786538 FTG786538 GDC786538 GMY786538 GWU786538 HGQ786538 HQM786538 IAI786538 IKE786538 IUA786538 JDW786538 JNS786538 JXO786538 KHK786538 KRG786538 LBC786538 LKY786538 LUU786538 MEQ786538 MOM786538 MYI786538 NIE786538 NSA786538 OBW786538 OLS786538 OVO786538 PFK786538 PPG786538 PZC786538 QIY786538 QSU786538 RCQ786538 RMM786538 RWI786538 SGE786538 SQA786538 SZW786538 TJS786538 TTO786538 UDK786538 UNG786538 UXC786538 VGY786538 VQU786538 WAQ786538 WKM786538 WUI786538 HW852074 RS852074 ABO852074 ALK852074 AVG852074 BFC852074 BOY852074 BYU852074 CIQ852074 CSM852074 DCI852074 DME852074 DWA852074 EFW852074 EPS852074 EZO852074 FJK852074 FTG852074 GDC852074 GMY852074 GWU852074 HGQ852074 HQM852074 IAI852074 IKE852074 IUA852074 JDW852074 JNS852074 JXO852074 KHK852074 KRG852074 LBC852074 LKY852074 LUU852074 MEQ852074 MOM852074 MYI852074 NIE852074 NSA852074 OBW852074 OLS852074 OVO852074 PFK852074 PPG852074 PZC852074 QIY852074 QSU852074 RCQ852074 RMM852074 RWI852074 SGE852074 SQA852074 SZW852074 TJS852074 TTO852074 UDK852074 UNG852074 UXC852074 VGY852074 VQU852074 WAQ852074 WKM852074 WUI852074 HW917610 RS917610 ABO917610 ALK917610 AVG917610 BFC917610 BOY917610 BYU917610 CIQ917610 CSM917610 DCI917610 DME917610 DWA917610 EFW917610 EPS917610 EZO917610 FJK917610 FTG917610 GDC917610 GMY917610 GWU917610 HGQ917610 HQM917610 IAI917610 IKE917610 IUA917610 JDW917610 JNS917610 JXO917610 KHK917610 KRG917610 LBC917610 LKY917610 LUU917610 MEQ917610 MOM917610 MYI917610 NIE917610 NSA917610 OBW917610 OLS917610 OVO917610 PFK917610 PPG917610 PZC917610 QIY917610 QSU917610 RCQ917610 RMM917610 RWI917610 SGE917610 SQA917610 SZW917610 TJS917610 TTO917610 UDK917610 UNG917610 UXC917610 VGY917610 VQU917610 WAQ917610 WKM917610 WUI917610 HW983146 RS983146 ABO983146 ALK983146 AVG983146 BFC983146 BOY983146 BYU983146 CIQ983146 CSM983146 DCI983146 DME983146 DWA983146 EFW983146 EPS983146 EZO983146 FJK983146 FTG983146 GDC983146 GMY983146 GWU983146 HGQ983146 HQM983146 IAI983146 IKE983146 IUA983146 JDW983146 JNS983146 JXO983146 KHK983146 KRG983146 LBC983146 LKY983146 LUU983146 MEQ983146 MOM983146 MYI983146 NIE983146 NSA983146 OBW983146 OLS983146 OVO983146 PFK983146 PPG983146 PZC983146 QIY983146 QSU983146 RCQ983146 RMM983146 RWI983146 SGE983146 SQA983146 SZW983146 TJS983146 TTO983146 UDK983146 UNG983146 UXC983146 VGY983146 VQU983146 WAQ983146 WKM983146 WUI983146 HW65653 RS65653 ABO65653 ALK65653 AVG65653 BFC65653 BOY65653 BYU65653 CIQ65653 CSM65653 DCI65653 DME65653 DWA65653 EFW65653 EPS65653 EZO65653 FJK65653 FTG65653 GDC65653 GMY65653 GWU65653 HGQ65653 HQM65653 IAI65653 IKE65653 IUA65653 JDW65653 JNS65653 JXO65653 KHK65653 KRG65653 LBC65653 LKY65653 LUU65653 MEQ65653 MOM65653 MYI65653 NIE65653 NSA65653 OBW65653 OLS65653 OVO65653 PFK65653 PPG65653 PZC65653 QIY65653 QSU65653 RCQ65653 RMM65653 RWI65653 SGE65653 SQA65653 SZW65653 TJS65653 TTO65653 UDK65653 UNG65653 UXC65653 VGY65653 VQU65653 WAQ65653 WKM65653 WUI65653 HW131189 RS131189 ABO131189 ALK131189 AVG131189 BFC131189 BOY131189 BYU131189 CIQ131189 CSM131189 DCI131189 DME131189 DWA131189 EFW131189 EPS131189 EZO131189 FJK131189 FTG131189 GDC131189 GMY131189 GWU131189 HGQ131189 HQM131189 IAI131189 IKE131189 IUA131189 JDW131189 JNS131189 JXO131189 KHK131189 KRG131189 LBC131189 LKY131189 LUU131189 MEQ131189 MOM131189 MYI131189 NIE131189 NSA131189 OBW131189 OLS131189 OVO131189 PFK131189 PPG131189 PZC131189 QIY131189 QSU131189 RCQ131189 RMM131189 RWI131189 SGE131189 SQA131189 SZW131189 TJS131189 TTO131189 UDK131189 UNG131189 UXC131189 VGY131189 VQU131189 WAQ131189 WKM131189 WUI131189 HW196725 RS196725 ABO196725 ALK196725 AVG196725 BFC196725 BOY196725 BYU196725 CIQ196725 CSM196725 DCI196725 DME196725 DWA196725 EFW196725 EPS196725 EZO196725 FJK196725 FTG196725 GDC196725 GMY196725 GWU196725 HGQ196725 HQM196725 IAI196725 IKE196725 IUA196725 JDW196725 JNS196725 JXO196725 KHK196725 KRG196725 LBC196725 LKY196725 LUU196725 MEQ196725 MOM196725 MYI196725 NIE196725 NSA196725 OBW196725 OLS196725 OVO196725 PFK196725 PPG196725 PZC196725 QIY196725 QSU196725 RCQ196725 RMM196725 RWI196725 SGE196725 SQA196725 SZW196725 TJS196725 TTO196725 UDK196725 UNG196725 UXC196725 VGY196725 VQU196725 WAQ196725 WKM196725 WUI196725 HW262261 RS262261 ABO262261 ALK262261 AVG262261 BFC262261 BOY262261 BYU262261 CIQ262261 CSM262261 DCI262261 DME262261 DWA262261 EFW262261 EPS262261 EZO262261 FJK262261 FTG262261 GDC262261 GMY262261 GWU262261 HGQ262261 HQM262261 IAI262261 IKE262261 IUA262261 JDW262261 JNS262261 JXO262261 KHK262261 KRG262261 LBC262261 LKY262261 LUU262261 MEQ262261 MOM262261 MYI262261 NIE262261 NSA262261 OBW262261 OLS262261 OVO262261 PFK262261 PPG262261 PZC262261 QIY262261 QSU262261 RCQ262261 RMM262261 RWI262261 SGE262261 SQA262261 SZW262261 TJS262261 TTO262261 UDK262261 UNG262261 UXC262261 VGY262261 VQU262261 WAQ262261 WKM262261 WUI262261 HW327797 RS327797 ABO327797 ALK327797 AVG327797 BFC327797 BOY327797 BYU327797 CIQ327797 CSM327797 DCI327797 DME327797 DWA327797 EFW327797 EPS327797 EZO327797 FJK327797 FTG327797 GDC327797 GMY327797 GWU327797 HGQ327797 HQM327797 IAI327797 IKE327797 IUA327797 JDW327797 JNS327797 JXO327797 KHK327797 KRG327797 LBC327797 LKY327797 LUU327797 MEQ327797 MOM327797 MYI327797 NIE327797 NSA327797 OBW327797 OLS327797 OVO327797 PFK327797 PPG327797 PZC327797 QIY327797 QSU327797 RCQ327797 RMM327797 RWI327797 SGE327797 SQA327797 SZW327797 TJS327797 TTO327797 UDK327797 UNG327797 UXC327797 VGY327797 VQU327797 WAQ327797 WKM327797 WUI327797 HW393333 RS393333 ABO393333 ALK393333 AVG393333 BFC393333 BOY393333 BYU393333 CIQ393333 CSM393333 DCI393333 DME393333 DWA393333 EFW393333 EPS393333 EZO393333 FJK393333 FTG393333 GDC393333 GMY393333 GWU393333 HGQ393333 HQM393333 IAI393333 IKE393333 IUA393333 JDW393333 JNS393333 JXO393333 KHK393333 KRG393333 LBC393333 LKY393333 LUU393333 MEQ393333 MOM393333 MYI393333 NIE393333 NSA393333 OBW393333 OLS393333 OVO393333 PFK393333 PPG393333 PZC393333 QIY393333 QSU393333 RCQ393333 RMM393333 RWI393333 SGE393333 SQA393333 SZW393333 TJS393333 TTO393333 UDK393333 UNG393333 UXC393333 VGY393333 VQU393333 WAQ393333 WKM393333 WUI393333 HW458869 RS458869 ABO458869 ALK458869 AVG458869 BFC458869 BOY458869 BYU458869 CIQ458869 CSM458869 DCI458869 DME458869 DWA458869 EFW458869 EPS458869 EZO458869 FJK458869 FTG458869 GDC458869 GMY458869 GWU458869 HGQ458869 HQM458869 IAI458869 IKE458869 IUA458869 JDW458869 JNS458869 JXO458869 KHK458869 KRG458869 LBC458869 LKY458869 LUU458869 MEQ458869 MOM458869 MYI458869 NIE458869 NSA458869 OBW458869 OLS458869 OVO458869 PFK458869 PPG458869 PZC458869 QIY458869 QSU458869 RCQ458869 RMM458869 RWI458869 SGE458869 SQA458869 SZW458869 TJS458869 TTO458869 UDK458869 UNG458869 UXC458869 VGY458869 VQU458869 WAQ458869 WKM458869 WUI458869 HW524405 RS524405 ABO524405 ALK524405 AVG524405 BFC524405 BOY524405 BYU524405 CIQ524405 CSM524405 DCI524405 DME524405 DWA524405 EFW524405 EPS524405 EZO524405 FJK524405 FTG524405 GDC524405 GMY524405 GWU524405 HGQ524405 HQM524405 IAI524405 IKE524405 IUA524405 JDW524405 JNS524405 JXO524405 KHK524405 KRG524405 LBC524405 LKY524405 LUU524405 MEQ524405 MOM524405 MYI524405 NIE524405 NSA524405 OBW524405 OLS524405 OVO524405 PFK524405 PPG524405 PZC524405 QIY524405 QSU524405 RCQ524405 RMM524405 RWI524405 SGE524405 SQA524405 SZW524405 TJS524405 TTO524405 UDK524405 UNG524405 UXC524405 VGY524405 VQU524405 WAQ524405 WKM524405 WUI524405 HW589941 RS589941 ABO589941 ALK589941 AVG589941 BFC589941 BOY589941 BYU589941 CIQ589941 CSM589941 DCI589941 DME589941 DWA589941 EFW589941 EPS589941 EZO589941 FJK589941 FTG589941 GDC589941 GMY589941 GWU589941 HGQ589941 HQM589941 IAI589941 IKE589941 IUA589941 JDW589941 JNS589941 JXO589941 KHK589941 KRG589941 LBC589941 LKY589941 LUU589941 MEQ589941 MOM589941 MYI589941 NIE589941 NSA589941 OBW589941 OLS589941 OVO589941 PFK589941 PPG589941 PZC589941 QIY589941 QSU589941 RCQ589941 RMM589941 RWI589941 SGE589941 SQA589941 SZW589941 TJS589941 TTO589941 UDK589941 UNG589941 UXC589941 VGY589941 VQU589941 WAQ589941 WKM589941 WUI589941 HW655477 RS655477 ABO655477 ALK655477 AVG655477 BFC655477 BOY655477 BYU655477 CIQ655477 CSM655477 DCI655477 DME655477 DWA655477 EFW655477 EPS655477 EZO655477 FJK655477 FTG655477 GDC655477 GMY655477 GWU655477 HGQ655477 HQM655477 IAI655477 IKE655477 IUA655477 JDW655477 JNS655477 JXO655477 KHK655477 KRG655477 LBC655477 LKY655477 LUU655477 MEQ655477 MOM655477 MYI655477 NIE655477 NSA655477 OBW655477 OLS655477 OVO655477 PFK655477 PPG655477 PZC655477 QIY655477 QSU655477 RCQ655477 RMM655477 RWI655477 SGE655477 SQA655477 SZW655477 TJS655477 TTO655477 UDK655477 UNG655477 UXC655477 VGY655477 VQU655477 WAQ655477 WKM655477 WUI655477 HW721013 RS721013 ABO721013 ALK721013 AVG721013 BFC721013 BOY721013 BYU721013 CIQ721013 CSM721013 DCI721013 DME721013 DWA721013 EFW721013 EPS721013 EZO721013 FJK721013 FTG721013 GDC721013 GMY721013 GWU721013 HGQ721013 HQM721013 IAI721013 IKE721013 IUA721013 JDW721013 JNS721013 JXO721013 KHK721013 KRG721013 LBC721013 LKY721013 LUU721013 MEQ721013 MOM721013 MYI721013 NIE721013 NSA721013 OBW721013 OLS721013 OVO721013 PFK721013 PPG721013 PZC721013 QIY721013 QSU721013 RCQ721013 RMM721013 RWI721013 SGE721013 SQA721013 SZW721013 TJS721013 TTO721013 UDK721013 UNG721013 UXC721013 VGY721013 VQU721013 WAQ721013 WKM721013 WUI721013 HW786549 RS786549 ABO786549 ALK786549 AVG786549 BFC786549 BOY786549 BYU786549 CIQ786549 CSM786549 DCI786549 DME786549 DWA786549 EFW786549 EPS786549 EZO786549 FJK786549 FTG786549 GDC786549 GMY786549 GWU786549 HGQ786549 HQM786549 IAI786549 IKE786549 IUA786549 JDW786549 JNS786549 JXO786549 KHK786549 KRG786549 LBC786549 LKY786549 LUU786549 MEQ786549 MOM786549 MYI786549 NIE786549 NSA786549 OBW786549 OLS786549 OVO786549 PFK786549 PPG786549 PZC786549 QIY786549 QSU786549 RCQ786549 RMM786549 RWI786549 SGE786549 SQA786549 SZW786549 TJS786549 TTO786549 UDK786549 UNG786549 UXC786549 VGY786549 VQU786549 WAQ786549 WKM786549 WUI786549 HW852085 RS852085 ABO852085 ALK852085 AVG852085 BFC852085 BOY852085 BYU852085 CIQ852085 CSM852085 DCI852085 DME852085 DWA852085 EFW852085 EPS852085 EZO852085 FJK852085 FTG852085 GDC852085 GMY852085 GWU852085 HGQ852085 HQM852085 IAI852085 IKE852085 IUA852085 JDW852085 JNS852085 JXO852085 KHK852085 KRG852085 LBC852085 LKY852085 LUU852085 MEQ852085 MOM852085 MYI852085 NIE852085 NSA852085 OBW852085 OLS852085 OVO852085 PFK852085 PPG852085 PZC852085 QIY852085 QSU852085 RCQ852085 RMM852085 RWI852085 SGE852085 SQA852085 SZW852085 TJS852085 TTO852085 UDK852085 UNG852085 UXC852085 VGY852085 VQU852085 WAQ852085 WKM852085 WUI852085 HW917621 RS917621 ABO917621 ALK917621 AVG917621 BFC917621 BOY917621 BYU917621 CIQ917621 CSM917621 DCI917621 DME917621 DWA917621 EFW917621 EPS917621 EZO917621 FJK917621 FTG917621 GDC917621 GMY917621 GWU917621 HGQ917621 HQM917621 IAI917621 IKE917621 IUA917621 JDW917621 JNS917621 JXO917621 KHK917621 KRG917621 LBC917621 LKY917621 LUU917621 MEQ917621 MOM917621 MYI917621 NIE917621 NSA917621 OBW917621 OLS917621 OVO917621 PFK917621 PPG917621 PZC917621 QIY917621 QSU917621 RCQ917621 RMM917621 RWI917621 SGE917621 SQA917621 SZW917621 TJS917621 TTO917621 UDK917621 UNG917621 UXC917621 VGY917621 VQU917621 WAQ917621 WKM917621 WUI917621 HW983157 RS983157 ABO983157 ALK983157 AVG983157 BFC983157 BOY983157 BYU983157 CIQ983157 CSM983157 DCI983157 DME983157 DWA983157 EFW983157 EPS983157 EZO983157 FJK983157 FTG983157 GDC983157 GMY983157 GWU983157 HGQ983157 HQM983157 IAI983157 IKE983157 IUA983157 JDW983157 JNS983157 JXO983157 KHK983157 KRG983157 LBC983157 LKY983157 LUU983157 MEQ983157 MOM983157 MYI983157 NIE983157 NSA983157 OBW983157 OLS983157 OVO983157 PFK983157 PPG983157 PZC983157 QIY983157 QSU983157 RCQ983157 RMM983157 RWI983157 SGE983157 SQA983157 SZW983157 TJS983157 TTO983157 UDK983157 UNG983157 UXC983157 VGY983157 VQU983157 WAQ983157 WKM983157 WUI983157 HW65648 RS65648 ABO65648 ALK65648 AVG65648 BFC65648 BOY65648 BYU65648 CIQ65648 CSM65648 DCI65648 DME65648 DWA65648 EFW65648 EPS65648 EZO65648 FJK65648 FTG65648 GDC65648 GMY65648 GWU65648 HGQ65648 HQM65648 IAI65648 IKE65648 IUA65648 JDW65648 JNS65648 JXO65648 KHK65648 KRG65648 LBC65648 LKY65648 LUU65648 MEQ65648 MOM65648 MYI65648 NIE65648 NSA65648 OBW65648 OLS65648 OVO65648 PFK65648 PPG65648 PZC65648 QIY65648 QSU65648 RCQ65648 RMM65648 RWI65648 SGE65648 SQA65648 SZW65648 TJS65648 TTO65648 UDK65648 UNG65648 UXC65648 VGY65648 VQU65648 WAQ65648 WKM65648 WUI65648 HW131184 RS131184 ABO131184 ALK131184 AVG131184 BFC131184 BOY131184 BYU131184 CIQ131184 CSM131184 DCI131184 DME131184 DWA131184 EFW131184 EPS131184 EZO131184 FJK131184 FTG131184 GDC131184 GMY131184 GWU131184 HGQ131184 HQM131184 IAI131184 IKE131184 IUA131184 JDW131184 JNS131184 JXO131184 KHK131184 KRG131184 LBC131184 LKY131184 LUU131184 MEQ131184 MOM131184 MYI131184 NIE131184 NSA131184 OBW131184 OLS131184 OVO131184 PFK131184 PPG131184 PZC131184 QIY131184 QSU131184 RCQ131184 RMM131184 RWI131184 SGE131184 SQA131184 SZW131184 TJS131184 TTO131184 UDK131184 UNG131184 UXC131184 VGY131184 VQU131184 WAQ131184 WKM131184 WUI131184 HW196720 RS196720 ABO196720 ALK196720 AVG196720 BFC196720 BOY196720 BYU196720 CIQ196720 CSM196720 DCI196720 DME196720 DWA196720 EFW196720 EPS196720 EZO196720 FJK196720 FTG196720 GDC196720 GMY196720 GWU196720 HGQ196720 HQM196720 IAI196720 IKE196720 IUA196720 JDW196720 JNS196720 JXO196720 KHK196720 KRG196720 LBC196720 LKY196720 LUU196720 MEQ196720 MOM196720 MYI196720 NIE196720 NSA196720 OBW196720 OLS196720 OVO196720 PFK196720 PPG196720 PZC196720 QIY196720 QSU196720 RCQ196720 RMM196720 RWI196720 SGE196720 SQA196720 SZW196720 TJS196720 TTO196720 UDK196720 UNG196720 UXC196720 VGY196720 VQU196720 WAQ196720 WKM196720 WUI196720 HW262256 RS262256 ABO262256 ALK262256 AVG262256 BFC262256 BOY262256 BYU262256 CIQ262256 CSM262256 DCI262256 DME262256 DWA262256 EFW262256 EPS262256 EZO262256 FJK262256 FTG262256 GDC262256 GMY262256 GWU262256 HGQ262256 HQM262256 IAI262256 IKE262256 IUA262256 JDW262256 JNS262256 JXO262256 KHK262256 KRG262256 LBC262256 LKY262256 LUU262256 MEQ262256 MOM262256 MYI262256 NIE262256 NSA262256 OBW262256 OLS262256 OVO262256 PFK262256 PPG262256 PZC262256 QIY262256 QSU262256 RCQ262256 RMM262256 RWI262256 SGE262256 SQA262256 SZW262256 TJS262256 TTO262256 UDK262256 UNG262256 UXC262256 VGY262256 VQU262256 WAQ262256 WKM262256 WUI262256 HW327792 RS327792 ABO327792 ALK327792 AVG327792 BFC327792 BOY327792 BYU327792 CIQ327792 CSM327792 DCI327792 DME327792 DWA327792 EFW327792 EPS327792 EZO327792 FJK327792 FTG327792 GDC327792 GMY327792 GWU327792 HGQ327792 HQM327792 IAI327792 IKE327792 IUA327792 JDW327792 JNS327792 JXO327792 KHK327792 KRG327792 LBC327792 LKY327792 LUU327792 MEQ327792 MOM327792 MYI327792 NIE327792 NSA327792 OBW327792 OLS327792 OVO327792 PFK327792 PPG327792 PZC327792 QIY327792 QSU327792 RCQ327792 RMM327792 RWI327792 SGE327792 SQA327792 SZW327792 TJS327792 TTO327792 UDK327792 UNG327792 UXC327792 VGY327792 VQU327792 WAQ327792 WKM327792 WUI327792 HW393328 RS393328 ABO393328 ALK393328 AVG393328 BFC393328 BOY393328 BYU393328 CIQ393328 CSM393328 DCI393328 DME393328 DWA393328 EFW393328 EPS393328 EZO393328 FJK393328 FTG393328 GDC393328 GMY393328 GWU393328 HGQ393328 HQM393328 IAI393328 IKE393328 IUA393328 JDW393328 JNS393328 JXO393328 KHK393328 KRG393328 LBC393328 LKY393328 LUU393328 MEQ393328 MOM393328 MYI393328 NIE393328 NSA393328 OBW393328 OLS393328 OVO393328 PFK393328 PPG393328 PZC393328 QIY393328 QSU393328 RCQ393328 RMM393328 RWI393328 SGE393328 SQA393328 SZW393328 TJS393328 TTO393328 UDK393328 UNG393328 UXC393328 VGY393328 VQU393328 WAQ393328 WKM393328 WUI393328 HW458864 RS458864 ABO458864 ALK458864 AVG458864 BFC458864 BOY458864 BYU458864 CIQ458864 CSM458864 DCI458864 DME458864 DWA458864 EFW458864 EPS458864 EZO458864 FJK458864 FTG458864 GDC458864 GMY458864 GWU458864 HGQ458864 HQM458864 IAI458864 IKE458864 IUA458864 JDW458864 JNS458864 JXO458864 KHK458864 KRG458864 LBC458864 LKY458864 LUU458864 MEQ458864 MOM458864 MYI458864 NIE458864 NSA458864 OBW458864 OLS458864 OVO458864 PFK458864 PPG458864 PZC458864 QIY458864 QSU458864 RCQ458864 RMM458864 RWI458864 SGE458864 SQA458864 SZW458864 TJS458864 TTO458864 UDK458864 UNG458864 UXC458864 VGY458864 VQU458864 WAQ458864 WKM458864 WUI458864 HW524400 RS524400 ABO524400 ALK524400 AVG524400 BFC524400 BOY524400 BYU524400 CIQ524400 CSM524400 DCI524400 DME524400 DWA524400 EFW524400 EPS524400 EZO524400 FJK524400 FTG524400 GDC524400 GMY524400 GWU524400 HGQ524400 HQM524400 IAI524400 IKE524400 IUA524400 JDW524400 JNS524400 JXO524400 KHK524400 KRG524400 LBC524400 LKY524400 LUU524400 MEQ524400 MOM524400 MYI524400 NIE524400 NSA524400 OBW524400 OLS524400 OVO524400 PFK524400 PPG524400 PZC524400 QIY524400 QSU524400 RCQ524400 RMM524400 RWI524400 SGE524400 SQA524400 SZW524400 TJS524400 TTO524400 UDK524400 UNG524400 UXC524400 VGY524400 VQU524400 WAQ524400 WKM524400 WUI524400 HW589936 RS589936 ABO589936 ALK589936 AVG589936 BFC589936 BOY589936 BYU589936 CIQ589936 CSM589936 DCI589936 DME589936 DWA589936 EFW589936 EPS589936 EZO589936 FJK589936 FTG589936 GDC589936 GMY589936 GWU589936 HGQ589936 HQM589936 IAI589936 IKE589936 IUA589936 JDW589936 JNS589936 JXO589936 KHK589936 KRG589936 LBC589936 LKY589936 LUU589936 MEQ589936 MOM589936 MYI589936 NIE589936 NSA589936 OBW589936 OLS589936 OVO589936 PFK589936 PPG589936 PZC589936 QIY589936 QSU589936 RCQ589936 RMM589936 RWI589936 SGE589936 SQA589936 SZW589936 TJS589936 TTO589936 UDK589936 UNG589936 UXC589936 VGY589936 VQU589936 WAQ589936 WKM589936 WUI589936 HW655472 RS655472 ABO655472 ALK655472 AVG655472 BFC655472 BOY655472 BYU655472 CIQ655472 CSM655472 DCI655472 DME655472 DWA655472 EFW655472 EPS655472 EZO655472 FJK655472 FTG655472 GDC655472 GMY655472 GWU655472 HGQ655472 HQM655472 IAI655472 IKE655472 IUA655472 JDW655472 JNS655472 JXO655472 KHK655472 KRG655472 LBC655472 LKY655472 LUU655472 MEQ655472 MOM655472 MYI655472 NIE655472 NSA655472 OBW655472 OLS655472 OVO655472 PFK655472 PPG655472 PZC655472 QIY655472 QSU655472 RCQ655472 RMM655472 RWI655472 SGE655472 SQA655472 SZW655472 TJS655472 TTO655472 UDK655472 UNG655472 UXC655472 VGY655472 VQU655472 WAQ655472 WKM655472 WUI655472 HW721008 RS721008 ABO721008 ALK721008 AVG721008 BFC721008 BOY721008 BYU721008 CIQ721008 CSM721008 DCI721008 DME721008 DWA721008 EFW721008 EPS721008 EZO721008 FJK721008 FTG721008 GDC721008 GMY721008 GWU721008 HGQ721008 HQM721008 IAI721008 IKE721008 IUA721008 JDW721008 JNS721008 JXO721008 KHK721008 KRG721008 LBC721008 LKY721008 LUU721008 MEQ721008 MOM721008 MYI721008 NIE721008 NSA721008 OBW721008 OLS721008 OVO721008 PFK721008 PPG721008 PZC721008 QIY721008 QSU721008 RCQ721008 RMM721008 RWI721008 SGE721008 SQA721008 SZW721008 TJS721008 TTO721008 UDK721008 UNG721008 UXC721008 VGY721008 VQU721008 WAQ721008 WKM721008 WUI721008 HW786544 RS786544 ABO786544 ALK786544 AVG786544 BFC786544 BOY786544 BYU786544 CIQ786544 CSM786544 DCI786544 DME786544 DWA786544 EFW786544 EPS786544 EZO786544 FJK786544 FTG786544 GDC786544 GMY786544 GWU786544 HGQ786544 HQM786544 IAI786544 IKE786544 IUA786544 JDW786544 JNS786544 JXO786544 KHK786544 KRG786544 LBC786544 LKY786544 LUU786544 MEQ786544 MOM786544 MYI786544 NIE786544 NSA786544 OBW786544 OLS786544 OVO786544 PFK786544 PPG786544 PZC786544 QIY786544 QSU786544 RCQ786544 RMM786544 RWI786544 SGE786544 SQA786544 SZW786544 TJS786544 TTO786544 UDK786544 UNG786544 UXC786544 VGY786544 VQU786544 WAQ786544 WKM786544 WUI786544 HW852080 RS852080 ABO852080 ALK852080 AVG852080 BFC852080 BOY852080 BYU852080 CIQ852080 CSM852080 DCI852080 DME852080 DWA852080 EFW852080 EPS852080 EZO852080 FJK852080 FTG852080 GDC852080 GMY852080 GWU852080 HGQ852080 HQM852080 IAI852080 IKE852080 IUA852080 JDW852080 JNS852080 JXO852080 KHK852080 KRG852080 LBC852080 LKY852080 LUU852080 MEQ852080 MOM852080 MYI852080 NIE852080 NSA852080 OBW852080 OLS852080 OVO852080 PFK852080 PPG852080 PZC852080 QIY852080 QSU852080 RCQ852080 RMM852080 RWI852080 SGE852080 SQA852080 SZW852080 TJS852080 TTO852080 UDK852080 UNG852080 UXC852080 VGY852080 VQU852080 WAQ852080 WKM852080 WUI852080 HW917616 RS917616 ABO917616 ALK917616 AVG917616 BFC917616 BOY917616 BYU917616 CIQ917616 CSM917616 DCI917616 DME917616 DWA917616 EFW917616 EPS917616 EZO917616 FJK917616 FTG917616 GDC917616 GMY917616 GWU917616 HGQ917616 HQM917616 IAI917616 IKE917616 IUA917616 JDW917616 JNS917616 JXO917616 KHK917616 KRG917616 LBC917616 LKY917616 LUU917616 MEQ917616 MOM917616 MYI917616 NIE917616 NSA917616 OBW917616 OLS917616 OVO917616 PFK917616 PPG917616 PZC917616 QIY917616 QSU917616 RCQ917616 RMM917616 RWI917616 SGE917616 SQA917616 SZW917616 TJS917616 TTO917616 UDK917616 UNG917616 UXC917616 VGY917616 VQU917616 WAQ917616 WKM917616 WUI917616 HW983152 RS983152 ABO983152 ALK983152 AVG983152 BFC983152 BOY983152 BYU983152 CIQ983152 CSM983152 DCI983152 DME983152 DWA983152 EFW983152 EPS983152 EZO983152 FJK983152 FTG983152 GDC983152 GMY983152 GWU983152 HGQ983152 HQM983152 IAI983152 IKE983152 IUA983152 JDW983152 JNS983152 JXO983152 KHK983152 KRG983152 LBC983152 LKY983152 LUU983152 MEQ983152 MOM983152 MYI983152 NIE983152 NSA983152 OBW983152 OLS983152 OVO983152 PFK983152 PPG983152 PZC983152 QIY983152 QSU983152 RCQ983152 RMM983152 RWI983152 SGE983152 SQA983152 SZW983152 TJS983152 TTO983152 UDK983152 UNG983152 UXC983152 VGY983152 VQU983152 WAQ983152 WKM983152 WUI983152 E983152 E917616 E852080 E786544 E721008 E655472 E589936 E524400 E458864 E393328 E327792 E262256 E196720 E131184 E65648 E983157 E917621 E852085 E786549 E721013 E655477 E589941 E524405 E458869 E393333 E327797 E262261 E196725 E131189 E65653 E983146 E917610 E852074 E786538 E721002 E655466 E589930 E524394 E458858 E393322 E327786 E262250 E196714 E131178" xr:uid="{00000000-0002-0000-0400-000000000000}">
      <formula1>"Yes,No"</formula1>
    </dataValidation>
  </dataValidations>
  <pageMargins left="0.7" right="0.7" top="0.75" bottom="0.75" header="0.3" footer="0.3"/>
  <pageSetup orientation="portrait" horizontalDpi="4294967293" r:id="rId1"/>
  <ignoredErrors>
    <ignoredError sqref="E117 G213" formula="1"/>
  </ignoredError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N159"/>
  <sheetViews>
    <sheetView showGridLines="0" zoomScale="70" zoomScaleNormal="70" workbookViewId="0">
      <pane xSplit="1" ySplit="3" topLeftCell="B4" activePane="bottomRight" state="frozen"/>
      <selection pane="topRight" activeCell="B1" sqref="B1"/>
      <selection pane="bottomLeft" activeCell="A4" sqref="A4"/>
      <selection pane="bottomRight" activeCell="D129" sqref="D129"/>
    </sheetView>
  </sheetViews>
  <sheetFormatPr baseColWidth="10" defaultColWidth="9.6640625" defaultRowHeight="15"/>
  <cols>
    <col min="1" max="1" width="2.6640625" customWidth="1"/>
    <col min="2" max="2" width="69.6640625" customWidth="1"/>
    <col min="3" max="4" width="15.6640625" customWidth="1"/>
    <col min="5" max="5" width="48.1640625" customWidth="1"/>
    <col min="6" max="7" width="13.6640625" customWidth="1"/>
    <col min="8" max="11" width="25.83203125" customWidth="1"/>
    <col min="12" max="14" width="13.6640625" customWidth="1"/>
  </cols>
  <sheetData>
    <row r="1" spans="2:11" ht="16" thickBot="1">
      <c r="D1" s="65"/>
      <c r="F1" s="66"/>
    </row>
    <row r="2" spans="2:11" ht="30" customHeight="1" thickBot="1">
      <c r="B2" s="93" t="s">
        <v>212</v>
      </c>
      <c r="C2" s="69"/>
      <c r="D2" s="94"/>
      <c r="E2" s="70"/>
      <c r="F2" s="66"/>
      <c r="G2" s="328"/>
      <c r="H2" s="328"/>
      <c r="I2" s="328"/>
      <c r="J2" s="328"/>
      <c r="K2" s="328"/>
    </row>
    <row r="3" spans="2:11" ht="19" thickBot="1">
      <c r="B3" s="95" t="s">
        <v>430</v>
      </c>
      <c r="C3" s="96"/>
      <c r="D3" s="97"/>
      <c r="E3" s="104"/>
      <c r="F3" s="66"/>
      <c r="G3" s="328"/>
      <c r="H3" s="328"/>
      <c r="I3" s="328"/>
      <c r="J3" s="328"/>
      <c r="K3" s="328"/>
    </row>
    <row r="4" spans="2:11" ht="16" thickBot="1">
      <c r="D4" s="65"/>
      <c r="F4" s="66"/>
    </row>
    <row r="5" spans="2:11" ht="35" thickBot="1">
      <c r="B5" s="118" t="str">
        <f>Inputs!E24</f>
        <v>Generation Equipment</v>
      </c>
      <c r="C5" s="108" t="s">
        <v>0</v>
      </c>
      <c r="D5" s="109" t="s">
        <v>92</v>
      </c>
      <c r="E5" s="99" t="s">
        <v>160</v>
      </c>
    </row>
    <row r="6" spans="2:11" ht="16">
      <c r="B6" s="727" t="s">
        <v>93</v>
      </c>
      <c r="C6" s="728">
        <v>0</v>
      </c>
      <c r="D6" s="141">
        <v>1</v>
      </c>
      <c r="E6" s="317" t="s">
        <v>19</v>
      </c>
    </row>
    <row r="7" spans="2:11" ht="16">
      <c r="B7" s="727" t="s">
        <v>93</v>
      </c>
      <c r="C7" s="728">
        <v>0</v>
      </c>
      <c r="D7" s="141">
        <v>1</v>
      </c>
      <c r="E7" s="317" t="s">
        <v>19</v>
      </c>
    </row>
    <row r="8" spans="2:11" ht="16">
      <c r="B8" s="727" t="s">
        <v>93</v>
      </c>
      <c r="C8" s="728">
        <v>0</v>
      </c>
      <c r="D8" s="141">
        <v>1</v>
      </c>
      <c r="E8" s="317" t="s">
        <v>19</v>
      </c>
    </row>
    <row r="9" spans="2:11" ht="16">
      <c r="B9" s="727" t="s">
        <v>93</v>
      </c>
      <c r="C9" s="728">
        <v>0</v>
      </c>
      <c r="D9" s="141">
        <v>1</v>
      </c>
      <c r="E9" s="317" t="s">
        <v>19</v>
      </c>
    </row>
    <row r="10" spans="2:11" ht="16">
      <c r="B10" s="727" t="s">
        <v>93</v>
      </c>
      <c r="C10" s="728">
        <v>0</v>
      </c>
      <c r="D10" s="141">
        <v>1</v>
      </c>
      <c r="E10" s="317" t="s">
        <v>19</v>
      </c>
    </row>
    <row r="11" spans="2:11" ht="16">
      <c r="B11" s="727" t="s">
        <v>93</v>
      </c>
      <c r="C11" s="728">
        <v>0</v>
      </c>
      <c r="D11" s="141">
        <v>1</v>
      </c>
      <c r="E11" s="317" t="s">
        <v>19</v>
      </c>
    </row>
    <row r="12" spans="2:11" ht="16">
      <c r="B12" s="727" t="s">
        <v>93</v>
      </c>
      <c r="C12" s="728">
        <v>0</v>
      </c>
      <c r="D12" s="141">
        <v>1</v>
      </c>
      <c r="E12" s="317" t="s">
        <v>19</v>
      </c>
    </row>
    <row r="13" spans="2:11" ht="16">
      <c r="B13" s="727" t="s">
        <v>93</v>
      </c>
      <c r="C13" s="728">
        <v>0</v>
      </c>
      <c r="D13" s="141">
        <v>1</v>
      </c>
      <c r="E13" s="317" t="s">
        <v>19</v>
      </c>
    </row>
    <row r="14" spans="2:11" ht="16">
      <c r="B14" s="727" t="s">
        <v>93</v>
      </c>
      <c r="C14" s="728">
        <v>0</v>
      </c>
      <c r="D14" s="141">
        <v>1</v>
      </c>
      <c r="E14" s="317" t="s">
        <v>19</v>
      </c>
    </row>
    <row r="15" spans="2:11" ht="16">
      <c r="B15" s="142" t="s">
        <v>93</v>
      </c>
      <c r="C15" s="143">
        <v>0</v>
      </c>
      <c r="D15" s="141">
        <v>1</v>
      </c>
      <c r="E15" s="317" t="s">
        <v>19</v>
      </c>
    </row>
    <row r="16" spans="2:11" ht="16">
      <c r="B16" s="142" t="s">
        <v>93</v>
      </c>
      <c r="C16" s="143">
        <v>0</v>
      </c>
      <c r="D16" s="141">
        <v>1</v>
      </c>
      <c r="E16" s="317" t="s">
        <v>19</v>
      </c>
    </row>
    <row r="17" spans="2:5" ht="16">
      <c r="B17" s="142" t="s">
        <v>93</v>
      </c>
      <c r="C17" s="143">
        <v>0</v>
      </c>
      <c r="D17" s="141">
        <v>1</v>
      </c>
      <c r="E17" s="317" t="s">
        <v>19</v>
      </c>
    </row>
    <row r="18" spans="2:5" ht="16">
      <c r="B18" s="142" t="s">
        <v>93</v>
      </c>
      <c r="C18" s="143">
        <v>0</v>
      </c>
      <c r="D18" s="141">
        <v>1</v>
      </c>
      <c r="E18" s="317" t="s">
        <v>19</v>
      </c>
    </row>
    <row r="19" spans="2:5" ht="16">
      <c r="B19" s="142" t="s">
        <v>93</v>
      </c>
      <c r="C19" s="143">
        <v>0</v>
      </c>
      <c r="D19" s="141">
        <v>1</v>
      </c>
      <c r="E19" s="317" t="s">
        <v>19</v>
      </c>
    </row>
    <row r="20" spans="2:5" ht="16">
      <c r="B20" s="142" t="s">
        <v>93</v>
      </c>
      <c r="C20" s="143">
        <v>0</v>
      </c>
      <c r="D20" s="141">
        <v>1</v>
      </c>
      <c r="E20" s="317" t="s">
        <v>19</v>
      </c>
    </row>
    <row r="21" spans="2:5" ht="16">
      <c r="B21" s="142" t="s">
        <v>93</v>
      </c>
      <c r="C21" s="143">
        <v>0</v>
      </c>
      <c r="D21" s="141">
        <v>1</v>
      </c>
      <c r="E21" s="317" t="s">
        <v>19</v>
      </c>
    </row>
    <row r="22" spans="2:5" ht="16">
      <c r="B22" s="142" t="s">
        <v>93</v>
      </c>
      <c r="C22" s="143">
        <v>0</v>
      </c>
      <c r="D22" s="141">
        <v>1</v>
      </c>
      <c r="E22" s="317" t="s">
        <v>19</v>
      </c>
    </row>
    <row r="23" spans="2:5" ht="16">
      <c r="B23" s="142" t="s">
        <v>93</v>
      </c>
      <c r="C23" s="143">
        <v>0</v>
      </c>
      <c r="D23" s="141">
        <v>1</v>
      </c>
      <c r="E23" s="317" t="s">
        <v>19</v>
      </c>
    </row>
    <row r="24" spans="2:5" ht="16">
      <c r="B24" s="142" t="s">
        <v>93</v>
      </c>
      <c r="C24" s="143">
        <v>0</v>
      </c>
      <c r="D24" s="141">
        <v>1</v>
      </c>
      <c r="E24" s="317" t="s">
        <v>19</v>
      </c>
    </row>
    <row r="25" spans="2:5" ht="17" thickBot="1">
      <c r="B25" s="144" t="s">
        <v>93</v>
      </c>
      <c r="C25" s="145">
        <v>0</v>
      </c>
      <c r="D25" s="146">
        <v>1</v>
      </c>
      <c r="E25" s="317" t="s">
        <v>19</v>
      </c>
    </row>
    <row r="26" spans="2:5" ht="30" customHeight="1" thickTop="1">
      <c r="B26" s="105" t="s">
        <v>164</v>
      </c>
      <c r="C26" s="106">
        <f>SUM(C6:C25)</f>
        <v>0</v>
      </c>
      <c r="D26" s="77" t="e">
        <f>SUMPRODUCT(C6:C25,D6:D25)/C26</f>
        <v>#DIV/0!</v>
      </c>
      <c r="E26" s="107"/>
    </row>
    <row r="27" spans="2:5" ht="16.5" customHeight="1">
      <c r="B27" s="113"/>
      <c r="C27" s="114"/>
      <c r="D27" s="100"/>
      <c r="E27" s="25"/>
    </row>
    <row r="28" spans="2:5" ht="30" customHeight="1">
      <c r="B28" s="74" t="s">
        <v>94</v>
      </c>
      <c r="C28" s="114"/>
      <c r="D28" s="100"/>
      <c r="E28" s="25"/>
    </row>
    <row r="29" spans="2:5" s="14" customFormat="1" ht="17" thickBot="1">
      <c r="B29" s="115"/>
      <c r="C29" s="116"/>
      <c r="D29" s="117"/>
      <c r="E29" s="112"/>
    </row>
    <row r="30" spans="2:5" ht="30" customHeight="1" thickBot="1">
      <c r="B30" s="118" t="str">
        <f>Inputs!E25</f>
        <v>Balance of Plant</v>
      </c>
      <c r="C30" s="108" t="s">
        <v>0</v>
      </c>
      <c r="D30" s="109" t="s">
        <v>92</v>
      </c>
      <c r="E30" s="99" t="s">
        <v>160</v>
      </c>
    </row>
    <row r="31" spans="2:5" ht="16">
      <c r="B31" s="727" t="s">
        <v>93</v>
      </c>
      <c r="C31" s="728">
        <v>0</v>
      </c>
      <c r="D31" s="141">
        <v>1</v>
      </c>
      <c r="E31" s="317" t="s">
        <v>19</v>
      </c>
    </row>
    <row r="32" spans="2:5" ht="16">
      <c r="B32" s="727" t="s">
        <v>93</v>
      </c>
      <c r="C32" s="728">
        <v>0</v>
      </c>
      <c r="D32" s="729">
        <v>1</v>
      </c>
      <c r="E32" s="730" t="s">
        <v>19</v>
      </c>
    </row>
    <row r="33" spans="2:5" ht="16">
      <c r="B33" s="727" t="s">
        <v>93</v>
      </c>
      <c r="C33" s="728">
        <v>0</v>
      </c>
      <c r="D33" s="729">
        <v>1</v>
      </c>
      <c r="E33" s="730" t="s">
        <v>19</v>
      </c>
    </row>
    <row r="34" spans="2:5" ht="16">
      <c r="B34" s="727" t="s">
        <v>93</v>
      </c>
      <c r="C34" s="728">
        <v>0</v>
      </c>
      <c r="D34" s="729">
        <v>1</v>
      </c>
      <c r="E34" s="730" t="s">
        <v>19</v>
      </c>
    </row>
    <row r="35" spans="2:5" ht="16">
      <c r="B35" s="727" t="s">
        <v>93</v>
      </c>
      <c r="C35" s="728">
        <v>0</v>
      </c>
      <c r="D35" s="729">
        <v>1</v>
      </c>
      <c r="E35" s="317" t="s">
        <v>19</v>
      </c>
    </row>
    <row r="36" spans="2:5" ht="16">
      <c r="B36" s="727" t="s">
        <v>93</v>
      </c>
      <c r="C36" s="728">
        <v>0</v>
      </c>
      <c r="D36" s="729">
        <v>1</v>
      </c>
      <c r="E36" s="317" t="s">
        <v>19</v>
      </c>
    </row>
    <row r="37" spans="2:5" ht="16">
      <c r="B37" s="727" t="s">
        <v>93</v>
      </c>
      <c r="C37" s="728">
        <v>0</v>
      </c>
      <c r="D37" s="729">
        <v>1</v>
      </c>
      <c r="E37" s="317" t="s">
        <v>19</v>
      </c>
    </row>
    <row r="38" spans="2:5" ht="16">
      <c r="B38" s="727" t="s">
        <v>93</v>
      </c>
      <c r="C38" s="728">
        <v>0</v>
      </c>
      <c r="D38" s="729">
        <v>1</v>
      </c>
      <c r="E38" s="317" t="s">
        <v>19</v>
      </c>
    </row>
    <row r="39" spans="2:5" ht="16">
      <c r="B39" s="727" t="s">
        <v>93</v>
      </c>
      <c r="C39" s="728">
        <v>0</v>
      </c>
      <c r="D39" s="729">
        <v>1</v>
      </c>
      <c r="E39" s="317" t="s">
        <v>19</v>
      </c>
    </row>
    <row r="40" spans="2:5" ht="16">
      <c r="B40" s="727" t="s">
        <v>93</v>
      </c>
      <c r="C40" s="728">
        <v>0</v>
      </c>
      <c r="D40" s="729">
        <v>1</v>
      </c>
      <c r="E40" s="730" t="s">
        <v>19</v>
      </c>
    </row>
    <row r="41" spans="2:5" ht="16">
      <c r="B41" s="142" t="s">
        <v>93</v>
      </c>
      <c r="C41" s="143">
        <v>0</v>
      </c>
      <c r="D41" s="729">
        <v>1</v>
      </c>
      <c r="E41" s="317" t="s">
        <v>19</v>
      </c>
    </row>
    <row r="42" spans="2:5" ht="16">
      <c r="B42" s="142" t="s">
        <v>93</v>
      </c>
      <c r="C42" s="143">
        <v>0</v>
      </c>
      <c r="D42" s="729">
        <v>1</v>
      </c>
      <c r="E42" s="317" t="s">
        <v>19</v>
      </c>
    </row>
    <row r="43" spans="2:5" ht="16">
      <c r="B43" s="142" t="s">
        <v>93</v>
      </c>
      <c r="C43" s="143">
        <v>0</v>
      </c>
      <c r="D43" s="141">
        <v>1</v>
      </c>
      <c r="E43" s="317" t="s">
        <v>19</v>
      </c>
    </row>
    <row r="44" spans="2:5" ht="16">
      <c r="B44" s="142" t="s">
        <v>93</v>
      </c>
      <c r="C44" s="143">
        <v>0</v>
      </c>
      <c r="D44" s="141">
        <v>1</v>
      </c>
      <c r="E44" s="317" t="s">
        <v>19</v>
      </c>
    </row>
    <row r="45" spans="2:5" ht="16">
      <c r="B45" s="142" t="s">
        <v>93</v>
      </c>
      <c r="C45" s="143">
        <v>0</v>
      </c>
      <c r="D45" s="141">
        <v>1</v>
      </c>
      <c r="E45" s="317" t="s">
        <v>19</v>
      </c>
    </row>
    <row r="46" spans="2:5" ht="16">
      <c r="B46" s="142" t="s">
        <v>93</v>
      </c>
      <c r="C46" s="143">
        <v>0</v>
      </c>
      <c r="D46" s="141">
        <v>1</v>
      </c>
      <c r="E46" s="317" t="s">
        <v>19</v>
      </c>
    </row>
    <row r="47" spans="2:5" ht="16">
      <c r="B47" s="142" t="s">
        <v>93</v>
      </c>
      <c r="C47" s="143">
        <v>0</v>
      </c>
      <c r="D47" s="141">
        <v>1</v>
      </c>
      <c r="E47" s="317" t="s">
        <v>19</v>
      </c>
    </row>
    <row r="48" spans="2:5" ht="16">
      <c r="B48" s="142" t="s">
        <v>93</v>
      </c>
      <c r="C48" s="143">
        <v>0</v>
      </c>
      <c r="D48" s="141">
        <v>1</v>
      </c>
      <c r="E48" s="317" t="s">
        <v>19</v>
      </c>
    </row>
    <row r="49" spans="2:5" ht="16">
      <c r="B49" s="142" t="s">
        <v>93</v>
      </c>
      <c r="C49" s="143">
        <v>0</v>
      </c>
      <c r="D49" s="141">
        <v>1</v>
      </c>
      <c r="E49" s="317" t="s">
        <v>19</v>
      </c>
    </row>
    <row r="50" spans="2:5" ht="17" thickBot="1">
      <c r="B50" s="144" t="s">
        <v>93</v>
      </c>
      <c r="C50" s="145">
        <v>0</v>
      </c>
      <c r="D50" s="146">
        <v>1</v>
      </c>
      <c r="E50" s="317" t="s">
        <v>19</v>
      </c>
    </row>
    <row r="51" spans="2:5" ht="30" customHeight="1" thickTop="1">
      <c r="B51" s="105" t="s">
        <v>166</v>
      </c>
      <c r="C51" s="106">
        <f>SUM(C31:C50)</f>
        <v>0</v>
      </c>
      <c r="D51" s="77" t="e">
        <f>SUMPRODUCT(C31:C50,D31:D50)/C51</f>
        <v>#DIV/0!</v>
      </c>
      <c r="E51" s="73"/>
    </row>
    <row r="53" spans="2:5" ht="30" customHeight="1">
      <c r="B53" s="74" t="s">
        <v>94</v>
      </c>
    </row>
    <row r="54" spans="2:5" ht="16" thickBot="1"/>
    <row r="55" spans="2:5" ht="35" thickBot="1">
      <c r="B55" s="67" t="str">
        <f>Inputs!E26</f>
        <v>Interconnection</v>
      </c>
      <c r="C55" s="108" t="s">
        <v>0</v>
      </c>
      <c r="D55" s="109" t="s">
        <v>92</v>
      </c>
      <c r="E55" s="99" t="s">
        <v>160</v>
      </c>
    </row>
    <row r="56" spans="2:5" ht="16">
      <c r="B56" s="731" t="s">
        <v>93</v>
      </c>
      <c r="C56" s="732">
        <v>0</v>
      </c>
      <c r="D56" s="141">
        <v>0.5</v>
      </c>
      <c r="E56" s="317" t="s">
        <v>22</v>
      </c>
    </row>
    <row r="57" spans="2:5" ht="16">
      <c r="B57" s="731" t="s">
        <v>93</v>
      </c>
      <c r="C57" s="732">
        <v>0</v>
      </c>
      <c r="D57" s="141">
        <v>0.5</v>
      </c>
      <c r="E57" s="317" t="s">
        <v>22</v>
      </c>
    </row>
    <row r="58" spans="2:5" ht="16">
      <c r="B58" s="731" t="s">
        <v>93</v>
      </c>
      <c r="C58" s="732">
        <v>0</v>
      </c>
      <c r="D58" s="141">
        <v>0.5</v>
      </c>
      <c r="E58" s="317" t="s">
        <v>22</v>
      </c>
    </row>
    <row r="59" spans="2:5" ht="16">
      <c r="B59" s="731" t="s">
        <v>93</v>
      </c>
      <c r="C59" s="732">
        <v>0</v>
      </c>
      <c r="D59" s="141">
        <v>0.5</v>
      </c>
      <c r="E59" s="317" t="s">
        <v>22</v>
      </c>
    </row>
    <row r="60" spans="2:5" ht="16">
      <c r="B60" s="318" t="s">
        <v>93</v>
      </c>
      <c r="C60" s="319">
        <v>0</v>
      </c>
      <c r="D60" s="141">
        <v>0.5</v>
      </c>
      <c r="E60" s="317" t="s">
        <v>22</v>
      </c>
    </row>
    <row r="61" spans="2:5" ht="16">
      <c r="B61" s="318" t="s">
        <v>93</v>
      </c>
      <c r="C61" s="319">
        <v>0</v>
      </c>
      <c r="D61" s="141">
        <v>0.5</v>
      </c>
      <c r="E61" s="317" t="s">
        <v>22</v>
      </c>
    </row>
    <row r="62" spans="2:5" ht="16">
      <c r="B62" s="318" t="s">
        <v>93</v>
      </c>
      <c r="C62" s="319">
        <v>0</v>
      </c>
      <c r="D62" s="141">
        <v>0.5</v>
      </c>
      <c r="E62" s="317" t="s">
        <v>22</v>
      </c>
    </row>
    <row r="63" spans="2:5" ht="16">
      <c r="B63" s="318" t="s">
        <v>93</v>
      </c>
      <c r="C63" s="319">
        <v>0</v>
      </c>
      <c r="D63" s="141">
        <v>0.5</v>
      </c>
      <c r="E63" s="317" t="s">
        <v>22</v>
      </c>
    </row>
    <row r="64" spans="2:5" ht="16">
      <c r="B64" s="318" t="s">
        <v>93</v>
      </c>
      <c r="C64" s="319">
        <v>0</v>
      </c>
      <c r="D64" s="141">
        <v>0.5</v>
      </c>
      <c r="E64" s="317" t="s">
        <v>22</v>
      </c>
    </row>
    <row r="65" spans="2:5" ht="16">
      <c r="B65" s="318" t="s">
        <v>93</v>
      </c>
      <c r="C65" s="319">
        <v>0</v>
      </c>
      <c r="D65" s="141">
        <v>0.5</v>
      </c>
      <c r="E65" s="317" t="s">
        <v>22</v>
      </c>
    </row>
    <row r="66" spans="2:5" ht="16">
      <c r="B66" s="318" t="s">
        <v>93</v>
      </c>
      <c r="C66" s="319">
        <v>0</v>
      </c>
      <c r="D66" s="141">
        <v>0.5</v>
      </c>
      <c r="E66" s="317" t="s">
        <v>22</v>
      </c>
    </row>
    <row r="67" spans="2:5" ht="16">
      <c r="B67" s="318" t="s">
        <v>93</v>
      </c>
      <c r="C67" s="319">
        <v>0</v>
      </c>
      <c r="D67" s="141">
        <v>0.5</v>
      </c>
      <c r="E67" s="317" t="s">
        <v>22</v>
      </c>
    </row>
    <row r="68" spans="2:5" ht="16">
      <c r="B68" s="318" t="s">
        <v>93</v>
      </c>
      <c r="C68" s="319">
        <v>0</v>
      </c>
      <c r="D68" s="141">
        <v>0.5</v>
      </c>
      <c r="E68" s="317" t="s">
        <v>22</v>
      </c>
    </row>
    <row r="69" spans="2:5" ht="16">
      <c r="B69" s="318" t="s">
        <v>93</v>
      </c>
      <c r="C69" s="319">
        <v>0</v>
      </c>
      <c r="D69" s="141">
        <v>0.5</v>
      </c>
      <c r="E69" s="317" t="s">
        <v>22</v>
      </c>
    </row>
    <row r="70" spans="2:5" ht="16">
      <c r="B70" s="318" t="s">
        <v>93</v>
      </c>
      <c r="C70" s="319">
        <v>0</v>
      </c>
      <c r="D70" s="141">
        <v>0.5</v>
      </c>
      <c r="E70" s="317" t="s">
        <v>22</v>
      </c>
    </row>
    <row r="71" spans="2:5" ht="16">
      <c r="B71" s="318" t="s">
        <v>93</v>
      </c>
      <c r="C71" s="319">
        <v>0</v>
      </c>
      <c r="D71" s="141">
        <v>0.5</v>
      </c>
      <c r="E71" s="317" t="s">
        <v>22</v>
      </c>
    </row>
    <row r="72" spans="2:5" ht="16">
      <c r="B72" s="318" t="s">
        <v>93</v>
      </c>
      <c r="C72" s="319">
        <v>0</v>
      </c>
      <c r="D72" s="141">
        <v>0.5</v>
      </c>
      <c r="E72" s="317" t="s">
        <v>22</v>
      </c>
    </row>
    <row r="73" spans="2:5" ht="16">
      <c r="B73" s="318" t="s">
        <v>93</v>
      </c>
      <c r="C73" s="319">
        <v>0</v>
      </c>
      <c r="D73" s="141">
        <v>0.5</v>
      </c>
      <c r="E73" s="317" t="s">
        <v>22</v>
      </c>
    </row>
    <row r="74" spans="2:5" ht="16">
      <c r="B74" s="318" t="s">
        <v>93</v>
      </c>
      <c r="C74" s="319">
        <v>0</v>
      </c>
      <c r="D74" s="141">
        <v>0.5</v>
      </c>
      <c r="E74" s="317" t="s">
        <v>22</v>
      </c>
    </row>
    <row r="75" spans="2:5" ht="17" thickBot="1">
      <c r="B75" s="144" t="s">
        <v>93</v>
      </c>
      <c r="C75" s="145">
        <v>0</v>
      </c>
      <c r="D75" s="146">
        <v>0.5</v>
      </c>
      <c r="E75" s="317" t="s">
        <v>22</v>
      </c>
    </row>
    <row r="76" spans="2:5" ht="30" customHeight="1" thickTop="1">
      <c r="B76" s="105" t="s">
        <v>167</v>
      </c>
      <c r="C76" s="106">
        <f>SUM(C56:C75)</f>
        <v>0</v>
      </c>
      <c r="D76" s="77" t="e">
        <f>SUMPRODUCT(C56:C75,D56:D75)/C76</f>
        <v>#DIV/0!</v>
      </c>
      <c r="E76" s="75"/>
    </row>
    <row r="77" spans="2:5" ht="15.75" customHeight="1"/>
    <row r="78" spans="2:5" ht="30" customHeight="1">
      <c r="B78" s="74" t="s">
        <v>94</v>
      </c>
    </row>
    <row r="79" spans="2:5" ht="15.75" customHeight="1" thickBot="1">
      <c r="B79" s="74"/>
    </row>
    <row r="80" spans="2:5" ht="35" thickBot="1">
      <c r="B80" s="67" t="str">
        <f>Inputs!E27</f>
        <v>Development Costs &amp; Fee</v>
      </c>
      <c r="C80" s="108" t="s">
        <v>0</v>
      </c>
      <c r="D80" s="109" t="s">
        <v>92</v>
      </c>
      <c r="E80" s="99" t="s">
        <v>160</v>
      </c>
    </row>
    <row r="81" spans="2:5" ht="16">
      <c r="B81" s="727" t="s">
        <v>93</v>
      </c>
      <c r="C81" s="728">
        <v>0</v>
      </c>
      <c r="D81" s="141">
        <v>1</v>
      </c>
      <c r="E81" s="317" t="s">
        <v>19</v>
      </c>
    </row>
    <row r="82" spans="2:5" ht="16">
      <c r="B82" s="727" t="s">
        <v>93</v>
      </c>
      <c r="C82" s="728">
        <v>0</v>
      </c>
      <c r="D82" s="141">
        <v>1</v>
      </c>
      <c r="E82" s="317" t="s">
        <v>19</v>
      </c>
    </row>
    <row r="83" spans="2:5" ht="16">
      <c r="B83" s="727" t="s">
        <v>93</v>
      </c>
      <c r="C83" s="728">
        <v>0</v>
      </c>
      <c r="D83" s="141">
        <v>1</v>
      </c>
      <c r="E83" s="317" t="s">
        <v>19</v>
      </c>
    </row>
    <row r="84" spans="2:5" ht="16">
      <c r="B84" s="727" t="s">
        <v>93</v>
      </c>
      <c r="C84" s="728">
        <v>0</v>
      </c>
      <c r="D84" s="141">
        <v>1</v>
      </c>
      <c r="E84" s="317" t="s">
        <v>19</v>
      </c>
    </row>
    <row r="85" spans="2:5" ht="16">
      <c r="B85" s="727" t="s">
        <v>93</v>
      </c>
      <c r="C85" s="728">
        <v>0</v>
      </c>
      <c r="D85" s="141">
        <v>1</v>
      </c>
      <c r="E85" s="317" t="s">
        <v>19</v>
      </c>
    </row>
    <row r="86" spans="2:5" ht="16">
      <c r="B86" s="727" t="s">
        <v>93</v>
      </c>
      <c r="C86" s="728">
        <v>0</v>
      </c>
      <c r="D86" s="141">
        <v>1</v>
      </c>
      <c r="E86" s="317" t="s">
        <v>19</v>
      </c>
    </row>
    <row r="87" spans="2:5" ht="16">
      <c r="B87" s="142" t="s">
        <v>93</v>
      </c>
      <c r="C87" s="143">
        <v>0</v>
      </c>
      <c r="D87" s="141">
        <v>1</v>
      </c>
      <c r="E87" s="317" t="s">
        <v>19</v>
      </c>
    </row>
    <row r="88" spans="2:5" ht="16">
      <c r="B88" s="142" t="s">
        <v>93</v>
      </c>
      <c r="C88" s="143">
        <v>0</v>
      </c>
      <c r="D88" s="141">
        <v>1</v>
      </c>
      <c r="E88" s="317" t="s">
        <v>19</v>
      </c>
    </row>
    <row r="89" spans="2:5" ht="16">
      <c r="B89" s="142" t="s">
        <v>93</v>
      </c>
      <c r="C89" s="143">
        <v>0</v>
      </c>
      <c r="D89" s="141">
        <v>1</v>
      </c>
      <c r="E89" s="317" t="s">
        <v>19</v>
      </c>
    </row>
    <row r="90" spans="2:5" ht="16">
      <c r="B90" s="142" t="s">
        <v>93</v>
      </c>
      <c r="C90" s="143">
        <v>0</v>
      </c>
      <c r="D90" s="141">
        <v>1</v>
      </c>
      <c r="E90" s="317" t="s">
        <v>19</v>
      </c>
    </row>
    <row r="91" spans="2:5" ht="16">
      <c r="B91" s="142" t="s">
        <v>93</v>
      </c>
      <c r="C91" s="143">
        <v>0</v>
      </c>
      <c r="D91" s="141">
        <v>1</v>
      </c>
      <c r="E91" s="317" t="s">
        <v>19</v>
      </c>
    </row>
    <row r="92" spans="2:5" ht="16">
      <c r="B92" s="142" t="s">
        <v>93</v>
      </c>
      <c r="C92" s="143">
        <v>0</v>
      </c>
      <c r="D92" s="141">
        <v>1</v>
      </c>
      <c r="E92" s="317" t="s">
        <v>19</v>
      </c>
    </row>
    <row r="93" spans="2:5" ht="16">
      <c r="B93" s="142" t="s">
        <v>93</v>
      </c>
      <c r="C93" s="143">
        <v>0</v>
      </c>
      <c r="D93" s="141">
        <v>1</v>
      </c>
      <c r="E93" s="317" t="s">
        <v>19</v>
      </c>
    </row>
    <row r="94" spans="2:5" ht="16">
      <c r="B94" s="142" t="s">
        <v>93</v>
      </c>
      <c r="C94" s="143">
        <v>0</v>
      </c>
      <c r="D94" s="141">
        <v>1</v>
      </c>
      <c r="E94" s="317" t="s">
        <v>19</v>
      </c>
    </row>
    <row r="95" spans="2:5" ht="16">
      <c r="B95" s="142" t="s">
        <v>93</v>
      </c>
      <c r="C95" s="143">
        <v>0</v>
      </c>
      <c r="D95" s="141">
        <v>1</v>
      </c>
      <c r="E95" s="317" t="s">
        <v>19</v>
      </c>
    </row>
    <row r="96" spans="2:5" ht="16">
      <c r="B96" s="142" t="s">
        <v>93</v>
      </c>
      <c r="C96" s="143">
        <v>0</v>
      </c>
      <c r="D96" s="141">
        <v>1</v>
      </c>
      <c r="E96" s="317" t="s">
        <v>19</v>
      </c>
    </row>
    <row r="97" spans="2:5" ht="16">
      <c r="B97" s="142" t="s">
        <v>93</v>
      </c>
      <c r="C97" s="143">
        <v>0</v>
      </c>
      <c r="D97" s="141">
        <v>1</v>
      </c>
      <c r="E97" s="317" t="s">
        <v>19</v>
      </c>
    </row>
    <row r="98" spans="2:5" ht="16">
      <c r="B98" s="142" t="s">
        <v>93</v>
      </c>
      <c r="C98" s="143">
        <v>0</v>
      </c>
      <c r="D98" s="141">
        <v>1</v>
      </c>
      <c r="E98" s="317" t="s">
        <v>19</v>
      </c>
    </row>
    <row r="99" spans="2:5" ht="16">
      <c r="B99" s="142" t="s">
        <v>93</v>
      </c>
      <c r="C99" s="143">
        <v>0</v>
      </c>
      <c r="D99" s="141">
        <v>1</v>
      </c>
      <c r="E99" s="317" t="s">
        <v>19</v>
      </c>
    </row>
    <row r="100" spans="2:5" ht="17" thickBot="1">
      <c r="B100" s="144" t="s">
        <v>93</v>
      </c>
      <c r="C100" s="145">
        <v>0</v>
      </c>
      <c r="D100" s="146">
        <v>1</v>
      </c>
      <c r="E100" s="317" t="s">
        <v>19</v>
      </c>
    </row>
    <row r="101" spans="2:5" ht="30" customHeight="1" thickTop="1">
      <c r="B101" s="105" t="s">
        <v>171</v>
      </c>
      <c r="C101" s="106">
        <f>SUM(C81:C100)</f>
        <v>0</v>
      </c>
      <c r="D101" s="77" t="e">
        <f>SUMPRODUCT(C81:C100,D81:D100)/C101</f>
        <v>#DIV/0!</v>
      </c>
      <c r="E101" s="75"/>
    </row>
    <row r="102" spans="2:5" ht="15.75" customHeight="1">
      <c r="B102" s="113"/>
      <c r="C102" s="114"/>
      <c r="D102" s="100"/>
      <c r="E102" s="127"/>
    </row>
    <row r="103" spans="2:5" ht="30" customHeight="1">
      <c r="B103" s="74" t="s">
        <v>94</v>
      </c>
      <c r="C103" s="114"/>
      <c r="D103" s="100"/>
      <c r="E103" s="127"/>
    </row>
    <row r="104" spans="2:5" ht="15.75" customHeight="1" thickBot="1">
      <c r="B104" s="113"/>
      <c r="C104" s="114"/>
      <c r="D104" s="100"/>
      <c r="E104" s="127"/>
    </row>
    <row r="105" spans="2:5" ht="30" customHeight="1" thickBot="1">
      <c r="B105" s="67" t="str">
        <f>Inputs!E28</f>
        <v>Reserves &amp; Financing Costs</v>
      </c>
      <c r="C105" s="108" t="s">
        <v>0</v>
      </c>
      <c r="D105" s="109" t="s">
        <v>92</v>
      </c>
      <c r="E105" s="99" t="s">
        <v>160</v>
      </c>
    </row>
    <row r="106" spans="2:5" ht="15.75" customHeight="1">
      <c r="B106" s="105" t="s">
        <v>169</v>
      </c>
      <c r="C106" s="106">
        <f>((C26+C51+C76+C101)*Inputs!$G$57*Inputs!$G$60)</f>
        <v>0</v>
      </c>
      <c r="D106" s="141">
        <v>0</v>
      </c>
      <c r="E106" s="317" t="s">
        <v>23</v>
      </c>
    </row>
    <row r="107" spans="2:5" ht="15.75" customHeight="1">
      <c r="B107" s="71" t="s">
        <v>36</v>
      </c>
      <c r="C107" s="129">
        <f>(C26+C51+C76+C101)*(Inputs!$G$53/12)*(Inputs!$G$52/2)</f>
        <v>0</v>
      </c>
      <c r="D107" s="141">
        <v>0</v>
      </c>
      <c r="E107" s="317" t="s">
        <v>22</v>
      </c>
    </row>
    <row r="108" spans="2:5" ht="15.75" customHeight="1">
      <c r="B108" s="8" t="s">
        <v>48</v>
      </c>
      <c r="C108" s="129">
        <f>Inputs!$G$70</f>
        <v>0</v>
      </c>
      <c r="D108" s="141">
        <v>0</v>
      </c>
      <c r="E108" s="317" t="s">
        <v>22</v>
      </c>
    </row>
    <row r="109" spans="2:5" ht="15.75" customHeight="1" thickBot="1">
      <c r="B109" s="130" t="s">
        <v>170</v>
      </c>
      <c r="C109" s="131">
        <f>Inputs!$Q$73+Inputs!$Q$76</f>
        <v>1478954.9482940962</v>
      </c>
      <c r="D109" s="146">
        <v>0</v>
      </c>
      <c r="E109" s="317" t="s">
        <v>23</v>
      </c>
    </row>
    <row r="110" spans="2:5" ht="30.75" customHeight="1" thickTop="1">
      <c r="B110" s="121" t="s">
        <v>134</v>
      </c>
      <c r="C110" s="106">
        <f>SUM(C106:C109)</f>
        <v>1478954.9482940962</v>
      </c>
      <c r="D110" s="77">
        <f>SUMPRODUCT(C106:C109,D106:D109)/C110</f>
        <v>0</v>
      </c>
      <c r="E110" s="98"/>
    </row>
    <row r="111" spans="2:5" ht="15.75" customHeight="1">
      <c r="B111" s="110"/>
      <c r="C111" s="128"/>
      <c r="D111" s="111"/>
      <c r="E111" s="112"/>
    </row>
    <row r="112" spans="2:5" ht="30" customHeight="1">
      <c r="B112" s="74" t="s">
        <v>94</v>
      </c>
      <c r="C112" s="128"/>
      <c r="D112" s="111"/>
      <c r="E112" s="112"/>
    </row>
    <row r="113" spans="2:14" ht="15.75" customHeight="1" thickBot="1">
      <c r="B113" s="110"/>
      <c r="C113" s="128"/>
      <c r="D113" s="111"/>
      <c r="E113" s="112"/>
    </row>
    <row r="114" spans="2:14" ht="17" thickBot="1">
      <c r="B114" s="67" t="s">
        <v>165</v>
      </c>
      <c r="C114" s="68"/>
      <c r="D114" s="68"/>
      <c r="E114" s="101" t="s">
        <v>91</v>
      </c>
      <c r="F114" s="102"/>
      <c r="G114" s="102"/>
      <c r="H114" s="102"/>
      <c r="I114" s="102"/>
      <c r="J114" s="102"/>
      <c r="K114" s="102"/>
      <c r="L114" s="102"/>
      <c r="M114" s="102"/>
      <c r="N114" s="103"/>
    </row>
    <row r="115" spans="2:14" ht="35" thickBot="1">
      <c r="B115" s="118" t="s">
        <v>26</v>
      </c>
      <c r="C115" s="108" t="s">
        <v>0</v>
      </c>
      <c r="D115" s="109" t="s">
        <v>168</v>
      </c>
      <c r="E115" s="109" t="s">
        <v>26</v>
      </c>
      <c r="F115" s="109" t="s">
        <v>19</v>
      </c>
      <c r="G115" s="109" t="s">
        <v>127</v>
      </c>
      <c r="H115" s="109" t="s">
        <v>20</v>
      </c>
      <c r="I115" s="109" t="s">
        <v>128</v>
      </c>
      <c r="J115" s="109" t="s">
        <v>129</v>
      </c>
      <c r="K115" s="109" t="s">
        <v>21</v>
      </c>
      <c r="L115" s="109" t="s">
        <v>22</v>
      </c>
      <c r="M115" s="109" t="s">
        <v>130</v>
      </c>
      <c r="N115" s="140" t="s">
        <v>23</v>
      </c>
    </row>
    <row r="116" spans="2:14" ht="15.75" customHeight="1">
      <c r="B116" s="121" t="s">
        <v>159</v>
      </c>
      <c r="C116" s="124">
        <f>C26</f>
        <v>0</v>
      </c>
      <c r="D116" s="138" t="e">
        <f>C26*D26</f>
        <v>#DIV/0!</v>
      </c>
      <c r="E116" s="139" t="s">
        <v>159</v>
      </c>
      <c r="F116" s="124">
        <f>SUMIF($E$5:$E$26,F$115,$C$5:$C$26)</f>
        <v>0</v>
      </c>
      <c r="G116" s="124">
        <f t="shared" ref="G116:N116" si="0">SUMIF($E$5:$E$26,G$115,$C$5:$C$26)</f>
        <v>0</v>
      </c>
      <c r="H116" s="124">
        <f t="shared" si="0"/>
        <v>0</v>
      </c>
      <c r="I116" s="124">
        <f t="shared" si="0"/>
        <v>0</v>
      </c>
      <c r="J116" s="124">
        <f t="shared" si="0"/>
        <v>0</v>
      </c>
      <c r="K116" s="124">
        <f t="shared" si="0"/>
        <v>0</v>
      </c>
      <c r="L116" s="124">
        <f t="shared" si="0"/>
        <v>0</v>
      </c>
      <c r="M116" s="124">
        <f t="shared" si="0"/>
        <v>0</v>
      </c>
      <c r="N116" s="124">
        <f t="shared" si="0"/>
        <v>0</v>
      </c>
    </row>
    <row r="117" spans="2:14" ht="15.75" customHeight="1">
      <c r="B117" s="72" t="s">
        <v>161</v>
      </c>
      <c r="C117" s="119">
        <f>C51</f>
        <v>0</v>
      </c>
      <c r="D117" s="126" t="e">
        <f>C51*D51</f>
        <v>#DIV/0!</v>
      </c>
      <c r="E117" s="136" t="s">
        <v>161</v>
      </c>
      <c r="F117" s="119">
        <f>SUMIF($E$30:$E$51,F$115,$C$30:$C$51)</f>
        <v>0</v>
      </c>
      <c r="G117" s="119">
        <f t="shared" ref="G117:N117" si="1">SUMIF($E$30:$E$51,G$115,$C$30:$C$51)</f>
        <v>0</v>
      </c>
      <c r="H117" s="119">
        <f t="shared" si="1"/>
        <v>0</v>
      </c>
      <c r="I117" s="119">
        <f t="shared" si="1"/>
        <v>0</v>
      </c>
      <c r="J117" s="119">
        <f t="shared" si="1"/>
        <v>0</v>
      </c>
      <c r="K117" s="119">
        <f t="shared" si="1"/>
        <v>0</v>
      </c>
      <c r="L117" s="119">
        <f t="shared" si="1"/>
        <v>0</v>
      </c>
      <c r="M117" s="119">
        <f t="shared" si="1"/>
        <v>0</v>
      </c>
      <c r="N117" s="119">
        <f t="shared" si="1"/>
        <v>0</v>
      </c>
    </row>
    <row r="118" spans="2:14" ht="15.75" customHeight="1">
      <c r="B118" s="72" t="s">
        <v>162</v>
      </c>
      <c r="C118" s="119">
        <f>C76</f>
        <v>0</v>
      </c>
      <c r="D118" s="126" t="e">
        <f>C76*D76</f>
        <v>#DIV/0!</v>
      </c>
      <c r="E118" s="136" t="s">
        <v>162</v>
      </c>
      <c r="F118" s="119">
        <f>SUMIF($E$55:$E$76,F$115,$C$55:$C$76)</f>
        <v>0</v>
      </c>
      <c r="G118" s="119">
        <f t="shared" ref="G118:N118" si="2">SUMIF($E$55:$E$76,G$115,$C$55:$C$76)</f>
        <v>0</v>
      </c>
      <c r="H118" s="119">
        <f t="shared" si="2"/>
        <v>0</v>
      </c>
      <c r="I118" s="119">
        <f t="shared" si="2"/>
        <v>0</v>
      </c>
      <c r="J118" s="119">
        <f t="shared" si="2"/>
        <v>0</v>
      </c>
      <c r="K118" s="119">
        <f t="shared" si="2"/>
        <v>0</v>
      </c>
      <c r="L118" s="119">
        <f t="shared" si="2"/>
        <v>0</v>
      </c>
      <c r="M118" s="119">
        <f t="shared" si="2"/>
        <v>0</v>
      </c>
      <c r="N118" s="119">
        <f t="shared" si="2"/>
        <v>0</v>
      </c>
    </row>
    <row r="119" spans="2:14" ht="15.75" customHeight="1">
      <c r="B119" s="72" t="s">
        <v>163</v>
      </c>
      <c r="C119" s="119">
        <f>C101</f>
        <v>0</v>
      </c>
      <c r="D119" s="126" t="e">
        <f>C101*D101</f>
        <v>#DIV/0!</v>
      </c>
      <c r="E119" s="136" t="s">
        <v>163</v>
      </c>
      <c r="F119" s="119">
        <f>SUMIF($E$80:$E$101,F$115,$C$80:$C$101)</f>
        <v>0</v>
      </c>
      <c r="G119" s="119">
        <f t="shared" ref="G119:N119" si="3">SUMIF($E$80:$E$101,G$115,$C$80:$C$101)</f>
        <v>0</v>
      </c>
      <c r="H119" s="119">
        <f t="shared" si="3"/>
        <v>0</v>
      </c>
      <c r="I119" s="119">
        <f t="shared" si="3"/>
        <v>0</v>
      </c>
      <c r="J119" s="119">
        <f t="shared" si="3"/>
        <v>0</v>
      </c>
      <c r="K119" s="119">
        <f t="shared" si="3"/>
        <v>0</v>
      </c>
      <c r="L119" s="119">
        <f t="shared" si="3"/>
        <v>0</v>
      </c>
      <c r="M119" s="119">
        <f t="shared" si="3"/>
        <v>0</v>
      </c>
      <c r="N119" s="119">
        <f t="shared" si="3"/>
        <v>0</v>
      </c>
    </row>
    <row r="120" spans="2:14" ht="15.75" customHeight="1" thickBot="1">
      <c r="B120" s="122" t="s">
        <v>95</v>
      </c>
      <c r="C120" s="123">
        <f>C110</f>
        <v>1478954.9482940962</v>
      </c>
      <c r="D120" s="132">
        <f>C110*D110</f>
        <v>0</v>
      </c>
      <c r="E120" s="137" t="s">
        <v>95</v>
      </c>
      <c r="F120" s="135">
        <f>SUMIF($E$105:$E$110,F$115,$C$105:$C$110)</f>
        <v>0</v>
      </c>
      <c r="G120" s="135">
        <f t="shared" ref="G120:N120" si="4">SUMIF($E$105:$E$110,G$115,$C$105:$C$110)</f>
        <v>0</v>
      </c>
      <c r="H120" s="135">
        <f t="shared" si="4"/>
        <v>0</v>
      </c>
      <c r="I120" s="135">
        <f t="shared" si="4"/>
        <v>0</v>
      </c>
      <c r="J120" s="135">
        <f t="shared" si="4"/>
        <v>0</v>
      </c>
      <c r="K120" s="135">
        <f t="shared" si="4"/>
        <v>0</v>
      </c>
      <c r="L120" s="135">
        <f t="shared" si="4"/>
        <v>0</v>
      </c>
      <c r="M120" s="135">
        <f t="shared" si="4"/>
        <v>0</v>
      </c>
      <c r="N120" s="135">
        <f t="shared" si="4"/>
        <v>1478954.9482940962</v>
      </c>
    </row>
    <row r="121" spans="2:14" ht="30" customHeight="1" thickTop="1">
      <c r="B121" s="120" t="s">
        <v>134</v>
      </c>
      <c r="C121" s="125">
        <f>SUM(C116:C120)</f>
        <v>1478954.9482940962</v>
      </c>
      <c r="D121" s="125" t="e">
        <f>SUM(D116:D120)</f>
        <v>#DIV/0!</v>
      </c>
      <c r="E121" s="72"/>
      <c r="F121" s="125">
        <f>SUM(F116:F120)</f>
        <v>0</v>
      </c>
      <c r="G121" s="125">
        <f t="shared" ref="G121:N121" si="5">SUM(G116:G120)</f>
        <v>0</v>
      </c>
      <c r="H121" s="125">
        <f t="shared" si="5"/>
        <v>0</v>
      </c>
      <c r="I121" s="125">
        <f t="shared" si="5"/>
        <v>0</v>
      </c>
      <c r="J121" s="125">
        <f t="shared" si="5"/>
        <v>0</v>
      </c>
      <c r="K121" s="125">
        <f t="shared" si="5"/>
        <v>0</v>
      </c>
      <c r="L121" s="125">
        <f t="shared" si="5"/>
        <v>0</v>
      </c>
      <c r="M121" s="125">
        <f t="shared" si="5"/>
        <v>0</v>
      </c>
      <c r="N121" s="125">
        <f t="shared" si="5"/>
        <v>1478954.9482940962</v>
      </c>
    </row>
    <row r="122" spans="2:14">
      <c r="B122" s="14"/>
      <c r="C122" s="14"/>
      <c r="D122" s="14"/>
      <c r="E122" s="14"/>
    </row>
    <row r="123" spans="2:14" ht="16">
      <c r="B123" s="254" t="s">
        <v>189</v>
      </c>
      <c r="C123" s="255" t="str">
        <f>Inputs!G79</f>
        <v>Yes</v>
      </c>
    </row>
    <row r="124" spans="2:14" ht="16" thickBot="1">
      <c r="B124" s="329"/>
      <c r="C124" s="329"/>
      <c r="D124" s="329"/>
      <c r="E124" s="329"/>
      <c r="F124" s="329"/>
      <c r="G124" s="329"/>
      <c r="H124" s="329"/>
      <c r="I124" s="329"/>
      <c r="J124" s="329"/>
      <c r="K124" s="329"/>
      <c r="L124" s="329"/>
      <c r="M124" s="329"/>
      <c r="N124" s="329"/>
    </row>
    <row r="125" spans="2:14" ht="16" thickBot="1">
      <c r="D125" s="316"/>
      <c r="E125" s="316"/>
    </row>
    <row r="126" spans="2:14" ht="30" customHeight="1" thickBot="1">
      <c r="B126" s="820" t="s">
        <v>211</v>
      </c>
      <c r="C126" s="821"/>
      <c r="D126" s="821"/>
      <c r="E126" s="822"/>
    </row>
    <row r="127" spans="2:14" ht="16" thickBot="1"/>
    <row r="128" spans="2:14" ht="69" thickBot="1">
      <c r="C128" s="326" t="s">
        <v>248</v>
      </c>
      <c r="D128" s="327" t="s">
        <v>251</v>
      </c>
    </row>
    <row r="129" spans="3:6" ht="16">
      <c r="C129" s="482">
        <f>'Cash Flow'!G2</f>
        <v>1</v>
      </c>
      <c r="D129" s="483">
        <v>5</v>
      </c>
      <c r="F129" s="382"/>
    </row>
    <row r="130" spans="3:6" ht="16">
      <c r="C130" s="484">
        <f>C129+1</f>
        <v>2</v>
      </c>
      <c r="D130" s="485">
        <v>5.0999999999999996</v>
      </c>
      <c r="F130" s="382"/>
    </row>
    <row r="131" spans="3:6" ht="16">
      <c r="C131" s="484">
        <f t="shared" ref="C131:C158" si="6">C130+1</f>
        <v>3</v>
      </c>
      <c r="D131" s="485">
        <v>5.202</v>
      </c>
      <c r="F131" s="382"/>
    </row>
    <row r="132" spans="3:6" ht="16">
      <c r="C132" s="484">
        <f t="shared" si="6"/>
        <v>4</v>
      </c>
      <c r="D132" s="485">
        <v>5.3060400000000003</v>
      </c>
      <c r="F132" s="382"/>
    </row>
    <row r="133" spans="3:6" ht="16">
      <c r="C133" s="484">
        <f t="shared" si="6"/>
        <v>5</v>
      </c>
      <c r="D133" s="485">
        <v>5.4121608000000005</v>
      </c>
      <c r="F133" s="382"/>
    </row>
    <row r="134" spans="3:6" ht="16">
      <c r="C134" s="484">
        <f t="shared" si="6"/>
        <v>6</v>
      </c>
      <c r="D134" s="485">
        <v>5.5204040160000005</v>
      </c>
      <c r="F134" s="382"/>
    </row>
    <row r="135" spans="3:6" ht="16">
      <c r="C135" s="484">
        <f t="shared" si="6"/>
        <v>7</v>
      </c>
      <c r="D135" s="485">
        <v>5.6308120963200006</v>
      </c>
      <c r="E135" s="25"/>
      <c r="F135" s="382"/>
    </row>
    <row r="136" spans="3:6" ht="16">
      <c r="C136" s="484">
        <f t="shared" si="6"/>
        <v>8</v>
      </c>
      <c r="D136" s="485">
        <v>5.7434283382464004</v>
      </c>
      <c r="E136" s="133"/>
      <c r="F136" s="382"/>
    </row>
    <row r="137" spans="3:6" ht="16">
      <c r="C137" s="484">
        <f t="shared" si="6"/>
        <v>9</v>
      </c>
      <c r="D137" s="485">
        <v>5.8582969050113283</v>
      </c>
      <c r="E137" s="134"/>
      <c r="F137" s="382"/>
    </row>
    <row r="138" spans="3:6" ht="16">
      <c r="C138" s="484">
        <f t="shared" si="6"/>
        <v>10</v>
      </c>
      <c r="D138" s="485">
        <v>5.9754628431115551</v>
      </c>
      <c r="E138" s="134"/>
      <c r="F138" s="382"/>
    </row>
    <row r="139" spans="3:6" ht="16">
      <c r="C139" s="484">
        <f t="shared" si="6"/>
        <v>11</v>
      </c>
      <c r="D139" s="485">
        <v>6.094972099973786</v>
      </c>
      <c r="E139" s="134"/>
      <c r="F139" s="382"/>
    </row>
    <row r="140" spans="3:6" ht="16">
      <c r="C140" s="484">
        <f t="shared" si="6"/>
        <v>12</v>
      </c>
      <c r="D140" s="485">
        <v>6.2168715419732621</v>
      </c>
      <c r="E140" s="134"/>
      <c r="F140" s="382"/>
    </row>
    <row r="141" spans="3:6" ht="16">
      <c r="C141" s="484">
        <f t="shared" si="6"/>
        <v>13</v>
      </c>
      <c r="D141" s="485">
        <v>6.3412089728127281</v>
      </c>
      <c r="E141" s="134"/>
      <c r="F141" s="382"/>
    </row>
    <row r="142" spans="3:6" ht="16">
      <c r="C142" s="484">
        <f t="shared" si="6"/>
        <v>14</v>
      </c>
      <c r="D142" s="485">
        <v>6.4680331522689825</v>
      </c>
      <c r="E142" s="134"/>
      <c r="F142" s="382"/>
    </row>
    <row r="143" spans="3:6" ht="16">
      <c r="C143" s="484">
        <f t="shared" si="6"/>
        <v>15</v>
      </c>
      <c r="D143" s="485">
        <v>6.5973938153143621</v>
      </c>
      <c r="E143" s="134"/>
      <c r="F143" s="382"/>
    </row>
    <row r="144" spans="3:6" ht="16">
      <c r="C144" s="484">
        <f t="shared" si="6"/>
        <v>16</v>
      </c>
      <c r="D144" s="485">
        <v>6.7293416916206494</v>
      </c>
      <c r="E144" s="134"/>
      <c r="F144" s="382"/>
    </row>
    <row r="145" spans="3:6" ht="16">
      <c r="C145" s="484">
        <f t="shared" si="6"/>
        <v>17</v>
      </c>
      <c r="D145" s="485">
        <v>6.8639285254530638</v>
      </c>
      <c r="E145" s="134"/>
      <c r="F145" s="382"/>
    </row>
    <row r="146" spans="3:6" ht="16">
      <c r="C146" s="484">
        <f t="shared" si="6"/>
        <v>18</v>
      </c>
      <c r="D146" s="485">
        <v>7.0012070959621253</v>
      </c>
      <c r="E146" s="25"/>
      <c r="F146" s="382"/>
    </row>
    <row r="147" spans="3:6" ht="16">
      <c r="C147" s="484">
        <f t="shared" si="6"/>
        <v>19</v>
      </c>
      <c r="D147" s="485">
        <v>7.1412312378813683</v>
      </c>
      <c r="E147" s="25"/>
      <c r="F147" s="382"/>
    </row>
    <row r="148" spans="3:6" ht="16">
      <c r="C148" s="484">
        <f t="shared" si="6"/>
        <v>20</v>
      </c>
      <c r="D148" s="485">
        <v>7.2840558626389953</v>
      </c>
      <c r="E148" s="25"/>
      <c r="F148" s="382"/>
    </row>
    <row r="149" spans="3:6" ht="16">
      <c r="C149" s="484">
        <f t="shared" si="6"/>
        <v>21</v>
      </c>
      <c r="D149" s="485">
        <v>7.4297369798917758</v>
      </c>
      <c r="F149" s="382"/>
    </row>
    <row r="150" spans="3:6" ht="16">
      <c r="C150" s="484">
        <f t="shared" si="6"/>
        <v>22</v>
      </c>
      <c r="D150" s="485">
        <v>7.5783317194896114</v>
      </c>
      <c r="F150" s="382"/>
    </row>
    <row r="151" spans="3:6" ht="16">
      <c r="C151" s="484">
        <f t="shared" si="6"/>
        <v>23</v>
      </c>
      <c r="D151" s="485">
        <v>7.7298983538794035</v>
      </c>
      <c r="F151" s="382"/>
    </row>
    <row r="152" spans="3:6" ht="16">
      <c r="C152" s="484">
        <f t="shared" si="6"/>
        <v>24</v>
      </c>
      <c r="D152" s="485">
        <v>7.8844963209569912</v>
      </c>
      <c r="F152" s="382"/>
    </row>
    <row r="153" spans="3:6" ht="16">
      <c r="C153" s="484">
        <f t="shared" si="6"/>
        <v>25</v>
      </c>
      <c r="D153" s="485">
        <v>8.0421862473761312</v>
      </c>
      <c r="F153" s="382"/>
    </row>
    <row r="154" spans="3:6" ht="16">
      <c r="C154" s="484">
        <f t="shared" si="6"/>
        <v>26</v>
      </c>
      <c r="D154" s="485">
        <v>8.2030299723236535</v>
      </c>
      <c r="F154" s="382"/>
    </row>
    <row r="155" spans="3:6" ht="16">
      <c r="C155" s="484">
        <f t="shared" si="6"/>
        <v>27</v>
      </c>
      <c r="D155" s="485">
        <v>8.3670905717701274</v>
      </c>
      <c r="F155" s="382"/>
    </row>
    <row r="156" spans="3:6" ht="16">
      <c r="C156" s="484">
        <f t="shared" si="6"/>
        <v>28</v>
      </c>
      <c r="D156" s="485">
        <v>8.5344323832055302</v>
      </c>
      <c r="F156" s="382"/>
    </row>
    <row r="157" spans="3:6" ht="16">
      <c r="C157" s="484">
        <f t="shared" si="6"/>
        <v>29</v>
      </c>
      <c r="D157" s="485">
        <v>8.7051210308696394</v>
      </c>
      <c r="F157" s="382"/>
    </row>
    <row r="158" spans="3:6" ht="16">
      <c r="C158" s="484">
        <f t="shared" si="6"/>
        <v>30</v>
      </c>
      <c r="D158" s="485">
        <v>8.8792234514870323</v>
      </c>
      <c r="F158" s="382"/>
    </row>
    <row r="159" spans="3:6" ht="30" customHeight="1">
      <c r="C159" s="823" t="s">
        <v>213</v>
      </c>
      <c r="D159" s="824"/>
    </row>
  </sheetData>
  <protectedRanges>
    <protectedRange sqref="D129:D158" name="Market Value"/>
    <protectedRange sqref="B6:E25 B31:E50 B56:E75 B81:E100 D106:E109" name="Complex Inputs"/>
  </protectedRanges>
  <mergeCells count="2">
    <mergeCell ref="B126:E126"/>
    <mergeCell ref="C159:D159"/>
  </mergeCells>
  <conditionalFormatting sqref="D106:E110 D6:E26 D56:E76 D116:N121 D81:E101 D31:E51">
    <cfRule type="expression" dxfId="2" priority="1">
      <formula>$C$123="No"</formula>
    </cfRule>
  </conditionalFormatting>
  <conditionalFormatting sqref="B108">
    <cfRule type="expression" dxfId="1" priority="5">
      <formula>#REF!="100% Equity"</formula>
    </cfRule>
  </conditionalFormatting>
  <conditionalFormatting sqref="B108">
    <cfRule type="expression" dxfId="0" priority="6">
      <formula>#REF!="(use dropdown)"</formula>
    </cfRule>
  </conditionalFormatting>
  <dataValidations count="1">
    <dataValidation type="list" allowBlank="1" showInputMessage="1" showErrorMessage="1" sqref="E6:E25 E31:E50 E106:E109 E56:E75 E81:E100" xr:uid="{00000000-0002-0000-0500-000000000000}">
      <formula1>$F$115:$N$115</formula1>
    </dataValidation>
  </dataValidations>
  <hyperlinks>
    <hyperlink ref="B53" location="Inputs!A1" display="Click Here to Return to Inputs Worksheet" xr:uid="{00000000-0004-0000-0500-000000000000}"/>
    <hyperlink ref="B78" location="Inputs!A1" display="Click Here to Return to Inputs Worksheet" xr:uid="{00000000-0004-0000-0500-000001000000}"/>
    <hyperlink ref="B28" location="Inputs!A1" display="Click Here to Return to Inputs Worksheet" xr:uid="{00000000-0004-0000-0500-000002000000}"/>
    <hyperlink ref="B103" location="Inputs!A1" display="Click Here to Return to Inputs Worksheet" xr:uid="{00000000-0004-0000-0500-000003000000}"/>
    <hyperlink ref="B112" location="Inputs!A1" display="Click Here to Return to Inputs Worksheet" xr:uid="{00000000-0004-0000-0500-000004000000}"/>
  </hyperlinks>
  <pageMargins left="0.7" right="0.7" top="0.75" bottom="0.75" header="0.3" footer="0.3"/>
  <pageSetup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Introduction</vt:lpstr>
      <vt:lpstr>Inputs</vt:lpstr>
      <vt:lpstr>Summary Results</vt:lpstr>
      <vt:lpstr>Annual Cash Flows &amp; Returns</vt:lpstr>
      <vt:lpstr>Cash Flow</vt:lpstr>
      <vt:lpstr>Complex Inputs</vt:lpstr>
      <vt:lpstr>Inputs!_ftnref1</vt:lpstr>
      <vt:lpstr>Introduction!Print_Area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CREST Model for Fuel Cells</dc:title>
  <dc:subject>A model to assess project economics, design cost-based incentives, and evaluate the impact of state and federal support structures on renewable energy</dc:subject>
  <dc:creator/>
  <cp:keywords/>
  <dc:description/>
  <cp:lastModifiedBy>Harrison Dreves</cp:lastModifiedBy>
  <cp:lastPrinted>2010-07-30T20:36:23Z</cp:lastPrinted>
  <dcterms:created xsi:type="dcterms:W3CDTF">2010-03-29T19:24:38Z</dcterms:created>
  <dcterms:modified xsi:type="dcterms:W3CDTF">2019-01-21T19:29:52Z</dcterms:modified>
  <cp:category/>
</cp:coreProperties>
</file>